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oa1po\OneDrive\เอกสาร\แผนที่ใช้กับโครงการโซล่าเซลล์\"/>
    </mc:Choice>
  </mc:AlternateContent>
  <xr:revisionPtr revIDLastSave="0" documentId="13_ncr:1_{84839B2E-C3F1-417B-9EC2-3BB7DCF21738}" xr6:coauthVersionLast="47" xr6:coauthVersionMax="47" xr10:uidLastSave="{00000000-0000-0000-0000-000000000000}"/>
  <bookViews>
    <workbookView xWindow="-120" yWindow="-120" windowWidth="29040" windowHeight="15720" tabRatio="854" xr2:uid="{00000000-000D-0000-FFFF-FFFF00000000}"/>
  </bookViews>
  <sheets>
    <sheet name="ไม่มีTOU" sheetId="35" r:id="rId1"/>
    <sheet name="ภาพรวม" sheetId="12" r:id="rId2"/>
    <sheet name="มทร.เชียงใหม่" sheetId="25" r:id="rId3"/>
    <sheet name="มทร.เชียงราย" sheetId="13" r:id="rId4"/>
    <sheet name="มทร.ดอยสะเก็ด" sheetId="26" r:id="rId5"/>
    <sheet name="มทร.ตาก1" sheetId="27" r:id="rId6"/>
    <sheet name="มทร.ตาก2" sheetId="28" r:id="rId7"/>
    <sheet name="มทร.ตาก3" sheetId="29" r:id="rId8"/>
    <sheet name="มทร.น่าน" sheetId="30" r:id="rId9"/>
    <sheet name="มทร.พิษณุโลก" sheetId="31" r:id="rId10"/>
    <sheet name="มทร.ภาคพายัพ เชียงใหม่" sheetId="32" r:id="rId11"/>
    <sheet name="มทร.ภาคพายัพ เจ็ดยอด" sheetId="33" r:id="rId12"/>
    <sheet name="มทร.ลำปาง" sheetId="3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2" l="1"/>
  <c r="B21" i="35"/>
  <c r="L41" i="35" s="1"/>
  <c r="B24" i="35"/>
  <c r="C47" i="35"/>
  <c r="D47" i="35" s="1"/>
  <c r="E47" i="35" s="1"/>
  <c r="F47" i="35" s="1"/>
  <c r="G47" i="35" s="1"/>
  <c r="H47" i="35" s="1"/>
  <c r="I47" i="35" s="1"/>
  <c r="J47" i="35" s="1"/>
  <c r="K47" i="35" s="1"/>
  <c r="L47" i="35" s="1"/>
  <c r="M47" i="35" s="1"/>
  <c r="N47" i="35" s="1"/>
  <c r="O47" i="35" s="1"/>
  <c r="P47" i="35" s="1"/>
  <c r="Q47" i="35" s="1"/>
  <c r="R47" i="35" s="1"/>
  <c r="S47" i="35" s="1"/>
  <c r="T47" i="35" s="1"/>
  <c r="U47" i="35" s="1"/>
  <c r="V47" i="35" s="1"/>
  <c r="B47" i="35"/>
  <c r="W46" i="35"/>
  <c r="W45" i="35"/>
  <c r="B45" i="35"/>
  <c r="B34" i="35" s="1"/>
  <c r="E49" i="35" s="1"/>
  <c r="F49" i="35" s="1"/>
  <c r="G49" i="35" s="1"/>
  <c r="H49" i="35" s="1"/>
  <c r="I49" i="35" s="1"/>
  <c r="J49" i="35" s="1"/>
  <c r="K49" i="35" s="1"/>
  <c r="L49" i="35" s="1"/>
  <c r="M49" i="35" s="1"/>
  <c r="N49" i="35" s="1"/>
  <c r="O49" i="35" s="1"/>
  <c r="P49" i="35" s="1"/>
  <c r="Q49" i="35" s="1"/>
  <c r="R49" i="35" s="1"/>
  <c r="S49" i="35" s="1"/>
  <c r="T49" i="35" s="1"/>
  <c r="U49" i="35" s="1"/>
  <c r="V49" i="35" s="1"/>
  <c r="W44" i="35"/>
  <c r="W42" i="35"/>
  <c r="G15" i="35"/>
  <c r="F22" i="35"/>
  <c r="B14" i="35"/>
  <c r="K41" i="35" l="1"/>
  <c r="J41" i="35"/>
  <c r="I41" i="35"/>
  <c r="H41" i="35"/>
  <c r="H48" i="35" s="1"/>
  <c r="G41" i="35"/>
  <c r="O41" i="35"/>
  <c r="M41" i="35"/>
  <c r="F41" i="35"/>
  <c r="V41" i="35"/>
  <c r="U41" i="35"/>
  <c r="E41" i="35"/>
  <c r="C41" i="35"/>
  <c r="T41" i="35"/>
  <c r="D41" i="35"/>
  <c r="S41" i="35"/>
  <c r="R41" i="35"/>
  <c r="Q41" i="35"/>
  <c r="P41" i="35"/>
  <c r="N41" i="35"/>
  <c r="B51" i="35"/>
  <c r="P48" i="35"/>
  <c r="B60" i="12"/>
  <c r="W47" i="35" l="1"/>
  <c r="P50" i="35"/>
  <c r="I48" i="35"/>
  <c r="M48" i="35"/>
  <c r="M50" i="35" s="1"/>
  <c r="M51" i="35" s="1"/>
  <c r="Q48" i="35"/>
  <c r="W49" i="35"/>
  <c r="R48" i="35"/>
  <c r="S48" i="35"/>
  <c r="S50" i="35" s="1"/>
  <c r="P51" i="35"/>
  <c r="F48" i="35"/>
  <c r="F50" i="35" s="1"/>
  <c r="F51" i="35" s="1"/>
  <c r="E48" i="35"/>
  <c r="E50" i="35" s="1"/>
  <c r="E51" i="35" s="1"/>
  <c r="G48" i="35"/>
  <c r="G50" i="35" s="1"/>
  <c r="G51" i="35" s="1"/>
  <c r="K48" i="35"/>
  <c r="K50" i="35" s="1"/>
  <c r="K51" i="35" s="1"/>
  <c r="O48" i="35"/>
  <c r="O50" i="35" s="1"/>
  <c r="T48" i="35"/>
  <c r="T50" i="35" s="1"/>
  <c r="T51" i="35" s="1"/>
  <c r="W41" i="35"/>
  <c r="C48" i="35"/>
  <c r="C50" i="35" s="1"/>
  <c r="H50" i="35"/>
  <c r="H51" i="35" s="1"/>
  <c r="V48" i="35"/>
  <c r="V50" i="35" s="1"/>
  <c r="V51" i="35" s="1"/>
  <c r="L48" i="35"/>
  <c r="L50" i="35" s="1"/>
  <c r="U48" i="35"/>
  <c r="U50" i="35" s="1"/>
  <c r="U51" i="35" s="1"/>
  <c r="N48" i="35"/>
  <c r="N50" i="35" s="1"/>
  <c r="N51" i="35" s="1"/>
  <c r="D48" i="35"/>
  <c r="J48" i="35"/>
  <c r="J50" i="35"/>
  <c r="B43" i="12"/>
  <c r="B14" i="12"/>
  <c r="B4" i="34"/>
  <c r="B32" i="34"/>
  <c r="B29" i="34"/>
  <c r="E28" i="34"/>
  <c r="F28" i="34" s="1"/>
  <c r="G28" i="34" s="1"/>
  <c r="H28" i="34" s="1"/>
  <c r="I28" i="34" s="1"/>
  <c r="J28" i="34" s="1"/>
  <c r="K28" i="34" s="1"/>
  <c r="L28" i="34" s="1"/>
  <c r="M28" i="34" s="1"/>
  <c r="N28" i="34" s="1"/>
  <c r="O28" i="34" s="1"/>
  <c r="P28" i="34" s="1"/>
  <c r="Q28" i="34" s="1"/>
  <c r="R28" i="34" s="1"/>
  <c r="S28" i="34" s="1"/>
  <c r="T28" i="34" s="1"/>
  <c r="U28" i="34" s="1"/>
  <c r="V28" i="34" s="1"/>
  <c r="W27" i="34"/>
  <c r="W26" i="34"/>
  <c r="B26" i="34"/>
  <c r="W25" i="34"/>
  <c r="B24" i="34"/>
  <c r="E30" i="34" s="1"/>
  <c r="F30" i="34" s="1"/>
  <c r="F9" i="34"/>
  <c r="F7" i="34"/>
  <c r="B4" i="33"/>
  <c r="O23" i="33" s="1"/>
  <c r="B32" i="33"/>
  <c r="B29" i="33"/>
  <c r="E28" i="33"/>
  <c r="F28" i="33" s="1"/>
  <c r="G28" i="33" s="1"/>
  <c r="H28" i="33" s="1"/>
  <c r="I28" i="33" s="1"/>
  <c r="J28" i="33" s="1"/>
  <c r="K28" i="33" s="1"/>
  <c r="L28" i="33" s="1"/>
  <c r="M28" i="33" s="1"/>
  <c r="N28" i="33" s="1"/>
  <c r="O28" i="33" s="1"/>
  <c r="P28" i="33" s="1"/>
  <c r="Q28" i="33" s="1"/>
  <c r="R28" i="33" s="1"/>
  <c r="S28" i="33" s="1"/>
  <c r="T28" i="33" s="1"/>
  <c r="U28" i="33" s="1"/>
  <c r="V28" i="33" s="1"/>
  <c r="W27" i="33"/>
  <c r="W26" i="33"/>
  <c r="B26" i="33"/>
  <c r="W25" i="33"/>
  <c r="B24" i="33"/>
  <c r="E30" i="33" s="1"/>
  <c r="F30" i="33" s="1"/>
  <c r="G30" i="33" s="1"/>
  <c r="H30" i="33" s="1"/>
  <c r="I30" i="33" s="1"/>
  <c r="J30" i="33" s="1"/>
  <c r="K30" i="33" s="1"/>
  <c r="L30" i="33" s="1"/>
  <c r="M30" i="33" s="1"/>
  <c r="N30" i="33" s="1"/>
  <c r="O30" i="33" s="1"/>
  <c r="P30" i="33" s="1"/>
  <c r="Q30" i="33" s="1"/>
  <c r="R30" i="33" s="1"/>
  <c r="S30" i="33" s="1"/>
  <c r="T30" i="33" s="1"/>
  <c r="U30" i="33" s="1"/>
  <c r="V30" i="33" s="1"/>
  <c r="F9" i="33"/>
  <c r="F7" i="33"/>
  <c r="B4" i="32"/>
  <c r="B32" i="32"/>
  <c r="B29" i="32"/>
  <c r="E28" i="32"/>
  <c r="F28" i="32" s="1"/>
  <c r="W27" i="32"/>
  <c r="W26" i="32"/>
  <c r="B26" i="32"/>
  <c r="W25" i="32"/>
  <c r="B24" i="32"/>
  <c r="W24" i="32" s="1"/>
  <c r="F9" i="32"/>
  <c r="F7" i="32"/>
  <c r="B4" i="31"/>
  <c r="R23" i="31" s="1"/>
  <c r="B32" i="31"/>
  <c r="B29" i="31"/>
  <c r="E28" i="31"/>
  <c r="F28" i="31" s="1"/>
  <c r="G28" i="31" s="1"/>
  <c r="H28" i="31" s="1"/>
  <c r="I28" i="31" s="1"/>
  <c r="J28" i="31" s="1"/>
  <c r="K28" i="31" s="1"/>
  <c r="L28" i="31" s="1"/>
  <c r="M28" i="31" s="1"/>
  <c r="N28" i="31" s="1"/>
  <c r="O28" i="31" s="1"/>
  <c r="P28" i="31" s="1"/>
  <c r="Q28" i="31" s="1"/>
  <c r="R28" i="31" s="1"/>
  <c r="S28" i="31" s="1"/>
  <c r="T28" i="31" s="1"/>
  <c r="U28" i="31" s="1"/>
  <c r="V28" i="31" s="1"/>
  <c r="W27" i="31"/>
  <c r="W26" i="31"/>
  <c r="B26" i="31"/>
  <c r="W25" i="31"/>
  <c r="B24" i="31"/>
  <c r="E30" i="31" s="1"/>
  <c r="F9" i="31"/>
  <c r="F7" i="31"/>
  <c r="B4" i="30"/>
  <c r="R23" i="30" s="1"/>
  <c r="B32" i="30"/>
  <c r="B29" i="30"/>
  <c r="E28" i="30"/>
  <c r="W27" i="30"/>
  <c r="W26" i="30"/>
  <c r="B26" i="30"/>
  <c r="W25" i="30"/>
  <c r="B24" i="30"/>
  <c r="W24" i="30" s="1"/>
  <c r="F9" i="30"/>
  <c r="F7" i="30"/>
  <c r="B4" i="29"/>
  <c r="B32" i="29"/>
  <c r="B29" i="29"/>
  <c r="E28" i="29"/>
  <c r="W27" i="29"/>
  <c r="W26" i="29"/>
  <c r="B26" i="29"/>
  <c r="W25" i="29"/>
  <c r="B24" i="29"/>
  <c r="E30" i="29" s="1"/>
  <c r="F9" i="29"/>
  <c r="F7" i="29"/>
  <c r="B4" i="28"/>
  <c r="B32" i="28"/>
  <c r="B29" i="28"/>
  <c r="E28" i="28"/>
  <c r="F28" i="28" s="1"/>
  <c r="G28" i="28" s="1"/>
  <c r="H28" i="28" s="1"/>
  <c r="I28" i="28" s="1"/>
  <c r="J28" i="28" s="1"/>
  <c r="K28" i="28" s="1"/>
  <c r="L28" i="28" s="1"/>
  <c r="M28" i="28" s="1"/>
  <c r="N28" i="28" s="1"/>
  <c r="O28" i="28" s="1"/>
  <c r="P28" i="28" s="1"/>
  <c r="Q28" i="28" s="1"/>
  <c r="R28" i="28" s="1"/>
  <c r="S28" i="28" s="1"/>
  <c r="T28" i="28" s="1"/>
  <c r="U28" i="28" s="1"/>
  <c r="V28" i="28" s="1"/>
  <c r="W27" i="28"/>
  <c r="W26" i="28"/>
  <c r="B26" i="28"/>
  <c r="W25" i="28"/>
  <c r="B24" i="28"/>
  <c r="W24" i="28" s="1"/>
  <c r="F9" i="28"/>
  <c r="F7" i="28"/>
  <c r="B4" i="27"/>
  <c r="S23" i="27" s="1"/>
  <c r="B32" i="27"/>
  <c r="B29" i="27"/>
  <c r="E28" i="27"/>
  <c r="F28" i="27" s="1"/>
  <c r="G28" i="27" s="1"/>
  <c r="H28" i="27" s="1"/>
  <c r="I28" i="27" s="1"/>
  <c r="J28" i="27" s="1"/>
  <c r="K28" i="27" s="1"/>
  <c r="L28" i="27" s="1"/>
  <c r="M28" i="27" s="1"/>
  <c r="N28" i="27" s="1"/>
  <c r="O28" i="27" s="1"/>
  <c r="P28" i="27" s="1"/>
  <c r="Q28" i="27" s="1"/>
  <c r="R28" i="27" s="1"/>
  <c r="S28" i="27" s="1"/>
  <c r="T28" i="27" s="1"/>
  <c r="U28" i="27" s="1"/>
  <c r="V28" i="27" s="1"/>
  <c r="W27" i="27"/>
  <c r="W26" i="27"/>
  <c r="B26" i="27"/>
  <c r="W25" i="27"/>
  <c r="B24" i="27"/>
  <c r="E30" i="27" s="1"/>
  <c r="F9" i="27"/>
  <c r="F7" i="27"/>
  <c r="B4" i="26"/>
  <c r="B32" i="26"/>
  <c r="B29" i="26"/>
  <c r="E28" i="26"/>
  <c r="W27" i="26"/>
  <c r="W26" i="26"/>
  <c r="B26" i="26"/>
  <c r="W25" i="26"/>
  <c r="B24" i="26"/>
  <c r="E30" i="26" s="1"/>
  <c r="F9" i="26"/>
  <c r="F7" i="26"/>
  <c r="W24" i="26" l="1"/>
  <c r="W24" i="29"/>
  <c r="Q23" i="31"/>
  <c r="P23" i="34"/>
  <c r="Q23" i="28"/>
  <c r="C23" i="27"/>
  <c r="R23" i="26"/>
  <c r="R23" i="27"/>
  <c r="L51" i="35"/>
  <c r="J51" i="35"/>
  <c r="Q50" i="35"/>
  <c r="Q51" i="35" s="1"/>
  <c r="D50" i="35"/>
  <c r="D51" i="35" s="1"/>
  <c r="S51" i="35"/>
  <c r="O51" i="35"/>
  <c r="W48" i="35"/>
  <c r="B57" i="35"/>
  <c r="B56" i="35"/>
  <c r="C51" i="35"/>
  <c r="R50" i="35"/>
  <c r="R51" i="35" s="1"/>
  <c r="I50" i="35"/>
  <c r="W24" i="34"/>
  <c r="P23" i="33"/>
  <c r="S23" i="33"/>
  <c r="G23" i="33"/>
  <c r="G29" i="33" s="1"/>
  <c r="G31" i="33" s="1"/>
  <c r="Q23" i="32"/>
  <c r="O23" i="31"/>
  <c r="C23" i="30"/>
  <c r="K23" i="30"/>
  <c r="K29" i="30" s="1"/>
  <c r="K31" i="30" s="1"/>
  <c r="C23" i="29"/>
  <c r="P23" i="28"/>
  <c r="P29" i="28" s="1"/>
  <c r="P31" i="28" s="1"/>
  <c r="O23" i="28"/>
  <c r="F23" i="28"/>
  <c r="F29" i="28" s="1"/>
  <c r="V23" i="28"/>
  <c r="C23" i="26"/>
  <c r="K23" i="26"/>
  <c r="S23" i="26"/>
  <c r="I23" i="26"/>
  <c r="O23" i="34"/>
  <c r="I23" i="34"/>
  <c r="P29" i="34"/>
  <c r="P31" i="34" s="1"/>
  <c r="O29" i="34"/>
  <c r="O31" i="34" s="1"/>
  <c r="W28" i="34"/>
  <c r="G30" i="34"/>
  <c r="H30" i="34" s="1"/>
  <c r="I30" i="34" s="1"/>
  <c r="J30" i="34" s="1"/>
  <c r="K30" i="34" s="1"/>
  <c r="L30" i="34" s="1"/>
  <c r="M30" i="34" s="1"/>
  <c r="N30" i="34" s="1"/>
  <c r="O30" i="34" s="1"/>
  <c r="P30" i="34" s="1"/>
  <c r="Q30" i="34" s="1"/>
  <c r="R30" i="34" s="1"/>
  <c r="S30" i="34" s="1"/>
  <c r="T30" i="34" s="1"/>
  <c r="U30" i="34" s="1"/>
  <c r="V30" i="34" s="1"/>
  <c r="J23" i="34"/>
  <c r="R23" i="34"/>
  <c r="Q23" i="34"/>
  <c r="C23" i="34"/>
  <c r="K23" i="34"/>
  <c r="S23" i="34"/>
  <c r="D23" i="34"/>
  <c r="L23" i="34"/>
  <c r="T23" i="34"/>
  <c r="E23" i="34"/>
  <c r="M23" i="34"/>
  <c r="U23" i="34"/>
  <c r="F23" i="34"/>
  <c r="N23" i="34"/>
  <c r="V23" i="34"/>
  <c r="G23" i="34"/>
  <c r="H23" i="34"/>
  <c r="I29" i="34"/>
  <c r="I31" i="34" s="1"/>
  <c r="W24" i="33"/>
  <c r="P29" i="33"/>
  <c r="P31" i="33" s="1"/>
  <c r="W28" i="33"/>
  <c r="S29" i="33"/>
  <c r="Q23" i="33"/>
  <c r="W30" i="33"/>
  <c r="J23" i="33"/>
  <c r="R23" i="33"/>
  <c r="I23" i="33"/>
  <c r="K23" i="33"/>
  <c r="D23" i="33"/>
  <c r="L23" i="33"/>
  <c r="T23" i="33"/>
  <c r="C23" i="33"/>
  <c r="E23" i="33"/>
  <c r="M23" i="33"/>
  <c r="U23" i="33"/>
  <c r="F23" i="33"/>
  <c r="N23" i="33"/>
  <c r="V23" i="33"/>
  <c r="O29" i="33"/>
  <c r="O31" i="33" s="1"/>
  <c r="H23" i="33"/>
  <c r="G28" i="32"/>
  <c r="H28" i="32" s="1"/>
  <c r="I28" i="32" s="1"/>
  <c r="J28" i="32" s="1"/>
  <c r="K28" i="32" s="1"/>
  <c r="L28" i="32" s="1"/>
  <c r="M28" i="32" s="1"/>
  <c r="N28" i="32" s="1"/>
  <c r="O28" i="32" s="1"/>
  <c r="P28" i="32" s="1"/>
  <c r="Q28" i="32" s="1"/>
  <c r="R28" i="32" s="1"/>
  <c r="S28" i="32" s="1"/>
  <c r="T28" i="32" s="1"/>
  <c r="U28" i="32" s="1"/>
  <c r="V28" i="32" s="1"/>
  <c r="Q29" i="32"/>
  <c r="K23" i="32"/>
  <c r="D23" i="32"/>
  <c r="L23" i="32"/>
  <c r="T23" i="32"/>
  <c r="J23" i="32"/>
  <c r="R23" i="32"/>
  <c r="E23" i="32"/>
  <c r="M23" i="32"/>
  <c r="U23" i="32"/>
  <c r="F23" i="32"/>
  <c r="N23" i="32"/>
  <c r="V23" i="32"/>
  <c r="C23" i="32"/>
  <c r="S23" i="32"/>
  <c r="G23" i="32"/>
  <c r="O23" i="32"/>
  <c r="E30" i="32"/>
  <c r="H23" i="32"/>
  <c r="P23" i="32"/>
  <c r="I23" i="32"/>
  <c r="W24" i="31"/>
  <c r="S23" i="31"/>
  <c r="S29" i="31" s="1"/>
  <c r="S31" i="31" s="1"/>
  <c r="I23" i="31"/>
  <c r="G23" i="31"/>
  <c r="G29" i="31" s="1"/>
  <c r="G31" i="31" s="1"/>
  <c r="W28" i="31"/>
  <c r="R29" i="31"/>
  <c r="R31" i="31" s="1"/>
  <c r="R32" i="31" s="1"/>
  <c r="D23" i="31"/>
  <c r="L23" i="31"/>
  <c r="T23" i="31"/>
  <c r="K23" i="31"/>
  <c r="E23" i="31"/>
  <c r="M23" i="31"/>
  <c r="U23" i="31"/>
  <c r="C23" i="31"/>
  <c r="F23" i="31"/>
  <c r="N23" i="31"/>
  <c r="V23" i="31"/>
  <c r="O29" i="31"/>
  <c r="O31" i="31" s="1"/>
  <c r="H23" i="31"/>
  <c r="P23" i="31"/>
  <c r="I29" i="31"/>
  <c r="I31" i="31" s="1"/>
  <c r="Q29" i="31"/>
  <c r="Q31" i="31" s="1"/>
  <c r="Q32" i="31" s="1"/>
  <c r="F30" i="31"/>
  <c r="G30" i="31" s="1"/>
  <c r="H30" i="31" s="1"/>
  <c r="I30" i="31" s="1"/>
  <c r="J30" i="31" s="1"/>
  <c r="K30" i="31" s="1"/>
  <c r="L30" i="31" s="1"/>
  <c r="M30" i="31" s="1"/>
  <c r="N30" i="31" s="1"/>
  <c r="O30" i="31" s="1"/>
  <c r="P30" i="31" s="1"/>
  <c r="Q30" i="31" s="1"/>
  <c r="R30" i="31" s="1"/>
  <c r="S30" i="31" s="1"/>
  <c r="T30" i="31" s="1"/>
  <c r="U30" i="31" s="1"/>
  <c r="V30" i="31" s="1"/>
  <c r="J23" i="31"/>
  <c r="S23" i="30"/>
  <c r="R29" i="30"/>
  <c r="D23" i="30"/>
  <c r="L23" i="30"/>
  <c r="T23" i="30"/>
  <c r="E23" i="30"/>
  <c r="M23" i="30"/>
  <c r="U23" i="30"/>
  <c r="F23" i="30"/>
  <c r="N23" i="30"/>
  <c r="V23" i="30"/>
  <c r="G23" i="30"/>
  <c r="O23" i="30"/>
  <c r="F28" i="30"/>
  <c r="G28" i="30" s="1"/>
  <c r="H28" i="30" s="1"/>
  <c r="I28" i="30" s="1"/>
  <c r="J28" i="30" s="1"/>
  <c r="K28" i="30" s="1"/>
  <c r="L28" i="30" s="1"/>
  <c r="M28" i="30" s="1"/>
  <c r="N28" i="30" s="1"/>
  <c r="O28" i="30" s="1"/>
  <c r="P28" i="30" s="1"/>
  <c r="Q28" i="30" s="1"/>
  <c r="R28" i="30" s="1"/>
  <c r="S28" i="30" s="1"/>
  <c r="T28" i="30" s="1"/>
  <c r="U28" i="30" s="1"/>
  <c r="V28" i="30" s="1"/>
  <c r="E30" i="30"/>
  <c r="H23" i="30"/>
  <c r="P23" i="30"/>
  <c r="I23" i="30"/>
  <c r="Q23" i="30"/>
  <c r="J23" i="30"/>
  <c r="C29" i="30"/>
  <c r="C31" i="30" s="1"/>
  <c r="S29" i="30"/>
  <c r="M23" i="29"/>
  <c r="D23" i="29"/>
  <c r="E23" i="29"/>
  <c r="E29" i="29" s="1"/>
  <c r="K23" i="29"/>
  <c r="K29" i="29" s="1"/>
  <c r="R23" i="29"/>
  <c r="R29" i="29" s="1"/>
  <c r="S23" i="29"/>
  <c r="S29" i="29" s="1"/>
  <c r="U23" i="29"/>
  <c r="Q23" i="29"/>
  <c r="Q29" i="29" s="1"/>
  <c r="F30" i="29"/>
  <c r="G30" i="29" s="1"/>
  <c r="H30" i="29" s="1"/>
  <c r="I30" i="29" s="1"/>
  <c r="J30" i="29" s="1"/>
  <c r="K30" i="29" s="1"/>
  <c r="L30" i="29" s="1"/>
  <c r="M30" i="29" s="1"/>
  <c r="N30" i="29" s="1"/>
  <c r="O30" i="29" s="1"/>
  <c r="P30" i="29" s="1"/>
  <c r="Q30" i="29" s="1"/>
  <c r="R30" i="29" s="1"/>
  <c r="S30" i="29" s="1"/>
  <c r="T30" i="29" s="1"/>
  <c r="U30" i="29" s="1"/>
  <c r="V30" i="29" s="1"/>
  <c r="L23" i="29"/>
  <c r="T23" i="29"/>
  <c r="M29" i="29"/>
  <c r="U29" i="29"/>
  <c r="F23" i="29"/>
  <c r="N23" i="29"/>
  <c r="V23" i="29"/>
  <c r="G23" i="29"/>
  <c r="O23" i="29"/>
  <c r="F28" i="29"/>
  <c r="G28" i="29" s="1"/>
  <c r="H28" i="29" s="1"/>
  <c r="I28" i="29" s="1"/>
  <c r="J28" i="29" s="1"/>
  <c r="K28" i="29" s="1"/>
  <c r="L28" i="29" s="1"/>
  <c r="M28" i="29" s="1"/>
  <c r="N28" i="29" s="1"/>
  <c r="O28" i="29" s="1"/>
  <c r="P28" i="29" s="1"/>
  <c r="Q28" i="29" s="1"/>
  <c r="R28" i="29" s="1"/>
  <c r="S28" i="29" s="1"/>
  <c r="T28" i="29" s="1"/>
  <c r="U28" i="29" s="1"/>
  <c r="V28" i="29" s="1"/>
  <c r="H23" i="29"/>
  <c r="P23" i="29"/>
  <c r="I23" i="29"/>
  <c r="J23" i="29"/>
  <c r="C29" i="29"/>
  <c r="C31" i="29" s="1"/>
  <c r="N23" i="28"/>
  <c r="E30" i="28"/>
  <c r="F30" i="28" s="1"/>
  <c r="G30" i="28" s="1"/>
  <c r="H30" i="28" s="1"/>
  <c r="I30" i="28" s="1"/>
  <c r="J30" i="28" s="1"/>
  <c r="K30" i="28" s="1"/>
  <c r="L30" i="28" s="1"/>
  <c r="M30" i="28" s="1"/>
  <c r="N30" i="28" s="1"/>
  <c r="O30" i="28" s="1"/>
  <c r="P30" i="28" s="1"/>
  <c r="Q30" i="28" s="1"/>
  <c r="R30" i="28" s="1"/>
  <c r="S30" i="28" s="1"/>
  <c r="T30" i="28" s="1"/>
  <c r="U30" i="28" s="1"/>
  <c r="V30" i="28" s="1"/>
  <c r="O29" i="28"/>
  <c r="O31" i="28" s="1"/>
  <c r="Q29" i="28"/>
  <c r="Q31" i="28" s="1"/>
  <c r="R23" i="28"/>
  <c r="K23" i="28"/>
  <c r="D23" i="28"/>
  <c r="L23" i="28"/>
  <c r="T23" i="28"/>
  <c r="J23" i="28"/>
  <c r="C23" i="28"/>
  <c r="S23" i="28"/>
  <c r="E23" i="28"/>
  <c r="M23" i="28"/>
  <c r="U23" i="28"/>
  <c r="N29" i="28"/>
  <c r="V29" i="28"/>
  <c r="G23" i="28"/>
  <c r="H23" i="28"/>
  <c r="W28" i="28"/>
  <c r="I23" i="28"/>
  <c r="I23" i="27"/>
  <c r="I29" i="27" s="1"/>
  <c r="I31" i="27" s="1"/>
  <c r="K23" i="27"/>
  <c r="K29" i="27" s="1"/>
  <c r="K31" i="27" s="1"/>
  <c r="W24" i="27"/>
  <c r="F30" i="27"/>
  <c r="G30" i="27" s="1"/>
  <c r="H30" i="27" s="1"/>
  <c r="I30" i="27" s="1"/>
  <c r="J30" i="27" s="1"/>
  <c r="K30" i="27" s="1"/>
  <c r="L30" i="27" s="1"/>
  <c r="M30" i="27" s="1"/>
  <c r="N30" i="27" s="1"/>
  <c r="O30" i="27" s="1"/>
  <c r="P30" i="27" s="1"/>
  <c r="Q30" i="27" s="1"/>
  <c r="R30" i="27" s="1"/>
  <c r="S30" i="27" s="1"/>
  <c r="T30" i="27" s="1"/>
  <c r="U30" i="27" s="1"/>
  <c r="V30" i="27" s="1"/>
  <c r="R29" i="27"/>
  <c r="W28" i="27"/>
  <c r="D23" i="27"/>
  <c r="L23" i="27"/>
  <c r="T23" i="27"/>
  <c r="E23" i="27"/>
  <c r="M23" i="27"/>
  <c r="U23" i="27"/>
  <c r="F23" i="27"/>
  <c r="N23" i="27"/>
  <c r="V23" i="27"/>
  <c r="G23" i="27"/>
  <c r="O23" i="27"/>
  <c r="H23" i="27"/>
  <c r="P23" i="27"/>
  <c r="Q23" i="27"/>
  <c r="J23" i="27"/>
  <c r="C29" i="27"/>
  <c r="C31" i="27" s="1"/>
  <c r="C32" i="27" s="1"/>
  <c r="S29" i="27"/>
  <c r="R29" i="26"/>
  <c r="I29" i="26"/>
  <c r="F30" i="26"/>
  <c r="G30" i="26" s="1"/>
  <c r="H30" i="26" s="1"/>
  <c r="I30" i="26" s="1"/>
  <c r="J30" i="26" s="1"/>
  <c r="K30" i="26" s="1"/>
  <c r="L30" i="26" s="1"/>
  <c r="M30" i="26" s="1"/>
  <c r="N30" i="26" s="1"/>
  <c r="O30" i="26" s="1"/>
  <c r="P30" i="26" s="1"/>
  <c r="Q30" i="26" s="1"/>
  <c r="R30" i="26" s="1"/>
  <c r="S30" i="26" s="1"/>
  <c r="T30" i="26" s="1"/>
  <c r="U30" i="26" s="1"/>
  <c r="V30" i="26" s="1"/>
  <c r="D23" i="26"/>
  <c r="L23" i="26"/>
  <c r="T23" i="26"/>
  <c r="E23" i="26"/>
  <c r="U23" i="26"/>
  <c r="F23" i="26"/>
  <c r="N23" i="26"/>
  <c r="V23" i="26"/>
  <c r="M23" i="26"/>
  <c r="G23" i="26"/>
  <c r="O23" i="26"/>
  <c r="F28" i="26"/>
  <c r="G28" i="26" s="1"/>
  <c r="H28" i="26" s="1"/>
  <c r="I28" i="26" s="1"/>
  <c r="J28" i="26" s="1"/>
  <c r="K28" i="26" s="1"/>
  <c r="L28" i="26" s="1"/>
  <c r="M28" i="26" s="1"/>
  <c r="N28" i="26" s="1"/>
  <c r="O28" i="26" s="1"/>
  <c r="P28" i="26" s="1"/>
  <c r="Q28" i="26" s="1"/>
  <c r="R28" i="26" s="1"/>
  <c r="S28" i="26" s="1"/>
  <c r="T28" i="26" s="1"/>
  <c r="U28" i="26" s="1"/>
  <c r="V28" i="26" s="1"/>
  <c r="H23" i="26"/>
  <c r="P23" i="26"/>
  <c r="Q23" i="26"/>
  <c r="J23" i="26"/>
  <c r="C29" i="26"/>
  <c r="C31" i="26" s="1"/>
  <c r="K29" i="26"/>
  <c r="S29" i="26"/>
  <c r="B4" i="25"/>
  <c r="S23" i="25" s="1"/>
  <c r="B32" i="25"/>
  <c r="B29" i="25"/>
  <c r="E28" i="25"/>
  <c r="F28" i="25" s="1"/>
  <c r="G28" i="25" s="1"/>
  <c r="H28" i="25" s="1"/>
  <c r="I28" i="25" s="1"/>
  <c r="J28" i="25" s="1"/>
  <c r="K28" i="25" s="1"/>
  <c r="L28" i="25" s="1"/>
  <c r="M28" i="25" s="1"/>
  <c r="N28" i="25" s="1"/>
  <c r="O28" i="25" s="1"/>
  <c r="P28" i="25" s="1"/>
  <c r="Q28" i="25" s="1"/>
  <c r="R28" i="25" s="1"/>
  <c r="S28" i="25" s="1"/>
  <c r="T28" i="25" s="1"/>
  <c r="U28" i="25" s="1"/>
  <c r="V28" i="25" s="1"/>
  <c r="W27" i="25"/>
  <c r="W26" i="25"/>
  <c r="B26" i="25"/>
  <c r="W25" i="25"/>
  <c r="B24" i="25"/>
  <c r="E30" i="25" s="1"/>
  <c r="F9" i="25"/>
  <c r="F7" i="25"/>
  <c r="B29" i="13"/>
  <c r="B26" i="13"/>
  <c r="B24" i="13"/>
  <c r="B4" i="13"/>
  <c r="Q31" i="29" l="1"/>
  <c r="W50" i="35"/>
  <c r="I51" i="35"/>
  <c r="W51" i="35" s="1"/>
  <c r="I32" i="34"/>
  <c r="Q31" i="32"/>
  <c r="I32" i="31"/>
  <c r="W30" i="31"/>
  <c r="S31" i="29"/>
  <c r="M31" i="29"/>
  <c r="R31" i="29"/>
  <c r="K32" i="27"/>
  <c r="C23" i="25"/>
  <c r="C29" i="25" s="1"/>
  <c r="R23" i="25"/>
  <c r="I23" i="25"/>
  <c r="I29" i="25" s="1"/>
  <c r="I31" i="25" s="1"/>
  <c r="K23" i="25"/>
  <c r="K29" i="25" s="1"/>
  <c r="K31" i="25" s="1"/>
  <c r="O32" i="34"/>
  <c r="G29" i="34"/>
  <c r="G31" i="34" s="1"/>
  <c r="G32" i="34" s="1"/>
  <c r="M29" i="34"/>
  <c r="M31" i="34" s="1"/>
  <c r="M32" i="34" s="1"/>
  <c r="Q29" i="34"/>
  <c r="W23" i="34"/>
  <c r="C29" i="34"/>
  <c r="E29" i="34"/>
  <c r="E31" i="34" s="1"/>
  <c r="E32" i="34" s="1"/>
  <c r="R29" i="34"/>
  <c r="T29" i="34"/>
  <c r="T31" i="34" s="1"/>
  <c r="T32" i="34" s="1"/>
  <c r="J29" i="34"/>
  <c r="J31" i="34" s="1"/>
  <c r="J32" i="34" s="1"/>
  <c r="V29" i="34"/>
  <c r="V31" i="34" s="1"/>
  <c r="L29" i="34"/>
  <c r="L31" i="34" s="1"/>
  <c r="N29" i="34"/>
  <c r="N31" i="34" s="1"/>
  <c r="N32" i="34" s="1"/>
  <c r="D29" i="34"/>
  <c r="P32" i="34"/>
  <c r="F29" i="34"/>
  <c r="S29" i="34"/>
  <c r="W30" i="34"/>
  <c r="U29" i="34"/>
  <c r="U31" i="34" s="1"/>
  <c r="U32" i="34" s="1"/>
  <c r="H29" i="34"/>
  <c r="H31" i="34" s="1"/>
  <c r="H32" i="34" s="1"/>
  <c r="K29" i="34"/>
  <c r="W23" i="33"/>
  <c r="C29" i="33"/>
  <c r="R29" i="33"/>
  <c r="S31" i="33"/>
  <c r="S32" i="33" s="1"/>
  <c r="E29" i="33"/>
  <c r="E31" i="33" s="1"/>
  <c r="E32" i="33" s="1"/>
  <c r="V29" i="33"/>
  <c r="V31" i="33" s="1"/>
  <c r="O32" i="33"/>
  <c r="J31" i="33"/>
  <c r="J29" i="33"/>
  <c r="N29" i="33"/>
  <c r="G32" i="33"/>
  <c r="I29" i="33"/>
  <c r="I31" i="33" s="1"/>
  <c r="I32" i="33" s="1"/>
  <c r="F29" i="33"/>
  <c r="F31" i="33" s="1"/>
  <c r="F32" i="33" s="1"/>
  <c r="T29" i="33"/>
  <c r="T31" i="33" s="1"/>
  <c r="T32" i="33" s="1"/>
  <c r="Q29" i="33"/>
  <c r="Q31" i="33" s="1"/>
  <c r="H29" i="33"/>
  <c r="H31" i="33" s="1"/>
  <c r="H32" i="33" s="1"/>
  <c r="L29" i="33"/>
  <c r="P32" i="33"/>
  <c r="U29" i="33"/>
  <c r="U31" i="33" s="1"/>
  <c r="U32" i="33" s="1"/>
  <c r="D29" i="33"/>
  <c r="D31" i="33" s="1"/>
  <c r="D32" i="33" s="1"/>
  <c r="M29" i="33"/>
  <c r="M31" i="33" s="1"/>
  <c r="K29" i="33"/>
  <c r="O29" i="32"/>
  <c r="O31" i="32" s="1"/>
  <c r="D29" i="32"/>
  <c r="D31" i="32" s="1"/>
  <c r="G29" i="32"/>
  <c r="U29" i="32"/>
  <c r="K29" i="32"/>
  <c r="S29" i="32"/>
  <c r="S31" i="32" s="1"/>
  <c r="M29" i="32"/>
  <c r="W23" i="32"/>
  <c r="C29" i="32"/>
  <c r="C31" i="32" s="1"/>
  <c r="E29" i="32"/>
  <c r="I29" i="32"/>
  <c r="I31" i="32" s="1"/>
  <c r="R29" i="32"/>
  <c r="R31" i="32" s="1"/>
  <c r="P29" i="32"/>
  <c r="P31" i="32" s="1"/>
  <c r="V29" i="32"/>
  <c r="J29" i="32"/>
  <c r="J31" i="32" s="1"/>
  <c r="H29" i="32"/>
  <c r="H31" i="32" s="1"/>
  <c r="N29" i="32"/>
  <c r="T29" i="32"/>
  <c r="T31" i="32" s="1"/>
  <c r="F30" i="32"/>
  <c r="G30" i="32" s="1"/>
  <c r="H30" i="32" s="1"/>
  <c r="I30" i="32" s="1"/>
  <c r="J30" i="32" s="1"/>
  <c r="K30" i="32" s="1"/>
  <c r="L30" i="32" s="1"/>
  <c r="M30" i="32" s="1"/>
  <c r="N30" i="32" s="1"/>
  <c r="O30" i="32" s="1"/>
  <c r="P30" i="32" s="1"/>
  <c r="Q30" i="32" s="1"/>
  <c r="R30" i="32" s="1"/>
  <c r="S30" i="32" s="1"/>
  <c r="T30" i="32" s="1"/>
  <c r="U30" i="32" s="1"/>
  <c r="V30" i="32" s="1"/>
  <c r="F29" i="32"/>
  <c r="L29" i="32"/>
  <c r="W28" i="32"/>
  <c r="G32" i="31"/>
  <c r="T29" i="31"/>
  <c r="T31" i="31" s="1"/>
  <c r="T32" i="31" s="1"/>
  <c r="J29" i="31"/>
  <c r="J31" i="31" s="1"/>
  <c r="J32" i="31" s="1"/>
  <c r="L29" i="31"/>
  <c r="L31" i="31" s="1"/>
  <c r="L32" i="31" s="1"/>
  <c r="U29" i="31"/>
  <c r="D29" i="31"/>
  <c r="F29" i="31"/>
  <c r="F31" i="31" s="1"/>
  <c r="F32" i="31" s="1"/>
  <c r="C29" i="31"/>
  <c r="W23" i="31"/>
  <c r="E29" i="31"/>
  <c r="E31" i="31" s="1"/>
  <c r="E32" i="31" s="1"/>
  <c r="S32" i="31"/>
  <c r="H29" i="31"/>
  <c r="H31" i="31" s="1"/>
  <c r="V29" i="31"/>
  <c r="V31" i="31" s="1"/>
  <c r="V32" i="31" s="1"/>
  <c r="K29" i="31"/>
  <c r="K31" i="31" s="1"/>
  <c r="K32" i="31" s="1"/>
  <c r="M29" i="31"/>
  <c r="P29" i="31"/>
  <c r="N29" i="31"/>
  <c r="N31" i="31" s="1"/>
  <c r="N32" i="31" s="1"/>
  <c r="O32" i="31"/>
  <c r="W23" i="30"/>
  <c r="C32" i="30"/>
  <c r="I29" i="30"/>
  <c r="I31" i="30" s="1"/>
  <c r="U29" i="30"/>
  <c r="M29" i="30"/>
  <c r="M31" i="30" s="1"/>
  <c r="W28" i="30"/>
  <c r="O29" i="30"/>
  <c r="O31" i="30" s="1"/>
  <c r="E29" i="30"/>
  <c r="E31" i="30" s="1"/>
  <c r="E32" i="30" s="1"/>
  <c r="Q29" i="30"/>
  <c r="Q31" i="30" s="1"/>
  <c r="G29" i="30"/>
  <c r="T29" i="30"/>
  <c r="T31" i="30" s="1"/>
  <c r="V29" i="30"/>
  <c r="V31" i="30" s="1"/>
  <c r="L29" i="30"/>
  <c r="L31" i="30" s="1"/>
  <c r="F30" i="30"/>
  <c r="G30" i="30" s="1"/>
  <c r="H30" i="30" s="1"/>
  <c r="I30" i="30" s="1"/>
  <c r="J30" i="30" s="1"/>
  <c r="K30" i="30" s="1"/>
  <c r="L30" i="30" s="1"/>
  <c r="M30" i="30" s="1"/>
  <c r="N30" i="30" s="1"/>
  <c r="O30" i="30" s="1"/>
  <c r="P30" i="30" s="1"/>
  <c r="Q30" i="30" s="1"/>
  <c r="R30" i="30" s="1"/>
  <c r="S30" i="30" s="1"/>
  <c r="P29" i="30"/>
  <c r="N29" i="30"/>
  <c r="N31" i="30" s="1"/>
  <c r="D29" i="30"/>
  <c r="R31" i="30"/>
  <c r="J29" i="30"/>
  <c r="J31" i="30" s="1"/>
  <c r="H29" i="30"/>
  <c r="H31" i="30" s="1"/>
  <c r="F29" i="30"/>
  <c r="F31" i="30" s="1"/>
  <c r="S31" i="30"/>
  <c r="S32" i="29"/>
  <c r="M32" i="29"/>
  <c r="D29" i="29"/>
  <c r="D31" i="29" s="1"/>
  <c r="W23" i="29"/>
  <c r="C32" i="29"/>
  <c r="I29" i="29"/>
  <c r="I31" i="29" s="1"/>
  <c r="G29" i="29"/>
  <c r="G31" i="29" s="1"/>
  <c r="G32" i="29" s="1"/>
  <c r="O29" i="29"/>
  <c r="O31" i="29" s="1"/>
  <c r="O32" i="29" s="1"/>
  <c r="E31" i="29"/>
  <c r="R32" i="29"/>
  <c r="V29" i="29"/>
  <c r="V31" i="29" s="1"/>
  <c r="V32" i="29" s="1"/>
  <c r="P29" i="29"/>
  <c r="N29" i="29"/>
  <c r="N31" i="29" s="1"/>
  <c r="N32" i="29" s="1"/>
  <c r="T29" i="29"/>
  <c r="W30" i="29"/>
  <c r="K31" i="29"/>
  <c r="K32" i="29" s="1"/>
  <c r="H29" i="29"/>
  <c r="F29" i="29"/>
  <c r="L29" i="29"/>
  <c r="L31" i="29" s="1"/>
  <c r="L32" i="29" s="1"/>
  <c r="W28" i="29"/>
  <c r="J29" i="29"/>
  <c r="J31" i="29" s="1"/>
  <c r="J32" i="29" s="1"/>
  <c r="U31" i="29"/>
  <c r="U32" i="29" s="1"/>
  <c r="Q32" i="29"/>
  <c r="W23" i="28"/>
  <c r="C29" i="28"/>
  <c r="J29" i="28"/>
  <c r="J31" i="28" s="1"/>
  <c r="W30" i="28"/>
  <c r="R29" i="28"/>
  <c r="R31" i="28" s="1"/>
  <c r="T29" i="28"/>
  <c r="T31" i="28" s="1"/>
  <c r="V31" i="28"/>
  <c r="V32" i="28" s="1"/>
  <c r="P32" i="28"/>
  <c r="L29" i="28"/>
  <c r="N31" i="28"/>
  <c r="N32" i="28" s="1"/>
  <c r="M29" i="28"/>
  <c r="M31" i="28" s="1"/>
  <c r="D29" i="28"/>
  <c r="F31" i="28"/>
  <c r="F32" i="28" s="1"/>
  <c r="U29" i="28"/>
  <c r="U31" i="28" s="1"/>
  <c r="E29" i="28"/>
  <c r="Q32" i="28"/>
  <c r="O32" i="28"/>
  <c r="I29" i="28"/>
  <c r="I31" i="28" s="1"/>
  <c r="I32" i="28" s="1"/>
  <c r="H29" i="28"/>
  <c r="H31" i="28" s="1"/>
  <c r="H32" i="28" s="1"/>
  <c r="G29" i="28"/>
  <c r="G31" i="28" s="1"/>
  <c r="S29" i="28"/>
  <c r="S31" i="28" s="1"/>
  <c r="S32" i="28" s="1"/>
  <c r="K29" i="28"/>
  <c r="N29" i="27"/>
  <c r="N31" i="27" s="1"/>
  <c r="N32" i="27" s="1"/>
  <c r="D29" i="27"/>
  <c r="D31" i="27"/>
  <c r="R31" i="27"/>
  <c r="R32" i="27" s="1"/>
  <c r="L29" i="27"/>
  <c r="V29" i="27"/>
  <c r="H29" i="27"/>
  <c r="H31" i="27" s="1"/>
  <c r="J29" i="27"/>
  <c r="J31" i="27" s="1"/>
  <c r="W23" i="27"/>
  <c r="U29" i="27"/>
  <c r="U31" i="27" s="1"/>
  <c r="U32" i="27" s="1"/>
  <c r="S31" i="27"/>
  <c r="S32" i="27" s="1"/>
  <c r="W30" i="27"/>
  <c r="Q29" i="27"/>
  <c r="Q31" i="27" s="1"/>
  <c r="Q32" i="27" s="1"/>
  <c r="O29" i="27"/>
  <c r="O31" i="27" s="1"/>
  <c r="O32" i="27" s="1"/>
  <c r="M29" i="27"/>
  <c r="I32" i="27"/>
  <c r="F29" i="27"/>
  <c r="F31" i="27" s="1"/>
  <c r="F32" i="27" s="1"/>
  <c r="G29" i="27"/>
  <c r="G31" i="27" s="1"/>
  <c r="G32" i="27" s="1"/>
  <c r="E29" i="27"/>
  <c r="P29" i="27"/>
  <c r="P31" i="27" s="1"/>
  <c r="P32" i="27" s="1"/>
  <c r="T29" i="27"/>
  <c r="C32" i="26"/>
  <c r="L29" i="26"/>
  <c r="P29" i="26"/>
  <c r="P31" i="26" s="1"/>
  <c r="V29" i="26"/>
  <c r="V31" i="26" s="1"/>
  <c r="D29" i="26"/>
  <c r="D31" i="26" s="1"/>
  <c r="I31" i="26"/>
  <c r="I32" i="26" s="1"/>
  <c r="H29" i="26"/>
  <c r="H31" i="26" s="1"/>
  <c r="H32" i="26" s="1"/>
  <c r="N29" i="26"/>
  <c r="N31" i="26" s="1"/>
  <c r="W28" i="26"/>
  <c r="J29" i="26"/>
  <c r="K31" i="26"/>
  <c r="K32" i="26" s="1"/>
  <c r="Q29" i="26"/>
  <c r="Q31" i="26" s="1"/>
  <c r="W23" i="26"/>
  <c r="W30" i="26"/>
  <c r="F29" i="26"/>
  <c r="O29" i="26"/>
  <c r="O31" i="26" s="1"/>
  <c r="O32" i="26" s="1"/>
  <c r="U29" i="26"/>
  <c r="U31" i="26" s="1"/>
  <c r="U32" i="26" s="1"/>
  <c r="S32" i="26"/>
  <c r="G29" i="26"/>
  <c r="G31" i="26" s="1"/>
  <c r="G32" i="26" s="1"/>
  <c r="E29" i="26"/>
  <c r="E31" i="26" s="1"/>
  <c r="E32" i="26" s="1"/>
  <c r="S31" i="26"/>
  <c r="R31" i="26"/>
  <c r="R32" i="26" s="1"/>
  <c r="M29" i="26"/>
  <c r="M31" i="26" s="1"/>
  <c r="T29" i="26"/>
  <c r="W24" i="25"/>
  <c r="R29" i="25"/>
  <c r="R31" i="25" s="1"/>
  <c r="W28" i="25"/>
  <c r="F30" i="25"/>
  <c r="G30" i="25" s="1"/>
  <c r="H30" i="25" s="1"/>
  <c r="I30" i="25" s="1"/>
  <c r="J30" i="25" s="1"/>
  <c r="K30" i="25" s="1"/>
  <c r="L30" i="25" s="1"/>
  <c r="M30" i="25" s="1"/>
  <c r="N30" i="25" s="1"/>
  <c r="O30" i="25" s="1"/>
  <c r="P30" i="25" s="1"/>
  <c r="Q30" i="25" s="1"/>
  <c r="R30" i="25" s="1"/>
  <c r="S30" i="25" s="1"/>
  <c r="T30" i="25" s="1"/>
  <c r="U30" i="25" s="1"/>
  <c r="V30" i="25" s="1"/>
  <c r="D23" i="25"/>
  <c r="L23" i="25"/>
  <c r="T23" i="25"/>
  <c r="E23" i="25"/>
  <c r="M23" i="25"/>
  <c r="U23" i="25"/>
  <c r="F23" i="25"/>
  <c r="N23" i="25"/>
  <c r="V23" i="25"/>
  <c r="G23" i="25"/>
  <c r="O23" i="25"/>
  <c r="H23" i="25"/>
  <c r="P23" i="25"/>
  <c r="Q23" i="25"/>
  <c r="J23" i="25"/>
  <c r="S29" i="25"/>
  <c r="B64" i="35" l="1"/>
  <c r="B65" i="35"/>
  <c r="F31" i="26"/>
  <c r="F32" i="26" s="1"/>
  <c r="S31" i="34"/>
  <c r="S32" i="34" s="1"/>
  <c r="F31" i="34"/>
  <c r="F32" i="34" s="1"/>
  <c r="L32" i="34"/>
  <c r="Q31" i="34"/>
  <c r="Q32" i="34" s="1"/>
  <c r="W29" i="34"/>
  <c r="K31" i="34"/>
  <c r="K32" i="34" s="1"/>
  <c r="D31" i="34"/>
  <c r="D32" i="34" s="1"/>
  <c r="V32" i="34"/>
  <c r="C31" i="34"/>
  <c r="R31" i="34"/>
  <c r="R32" i="34" s="1"/>
  <c r="J32" i="33"/>
  <c r="L31" i="33"/>
  <c r="L32" i="33" s="1"/>
  <c r="V32" i="33"/>
  <c r="R31" i="33"/>
  <c r="R32" i="33" s="1"/>
  <c r="K31" i="33"/>
  <c r="K32" i="33" s="1"/>
  <c r="N31" i="33"/>
  <c r="N32" i="33" s="1"/>
  <c r="W29" i="33"/>
  <c r="C31" i="33"/>
  <c r="M32" i="33"/>
  <c r="Q32" i="33"/>
  <c r="N31" i="32"/>
  <c r="N32" i="32" s="1"/>
  <c r="T32" i="32"/>
  <c r="D32" i="32"/>
  <c r="F31" i="32"/>
  <c r="F32" i="32" s="1"/>
  <c r="K32" i="32"/>
  <c r="C32" i="32"/>
  <c r="I32" i="32"/>
  <c r="S32" i="32"/>
  <c r="H32" i="32"/>
  <c r="V31" i="32"/>
  <c r="V32" i="32" s="1"/>
  <c r="G31" i="32"/>
  <c r="G32" i="32" s="1"/>
  <c r="W30" i="32"/>
  <c r="P32" i="32"/>
  <c r="Q32" i="32"/>
  <c r="K31" i="32"/>
  <c r="L31" i="32"/>
  <c r="L32" i="32" s="1"/>
  <c r="J32" i="32"/>
  <c r="E31" i="32"/>
  <c r="M31" i="32"/>
  <c r="M32" i="32" s="1"/>
  <c r="R32" i="32"/>
  <c r="U31" i="32"/>
  <c r="U32" i="32" s="1"/>
  <c r="O32" i="32"/>
  <c r="W29" i="32"/>
  <c r="U32" i="31"/>
  <c r="D31" i="31"/>
  <c r="D32" i="31" s="1"/>
  <c r="M31" i="31"/>
  <c r="M32" i="31" s="1"/>
  <c r="H32" i="31"/>
  <c r="W29" i="31"/>
  <c r="C31" i="31"/>
  <c r="U31" i="31"/>
  <c r="P31" i="31"/>
  <c r="P32" i="31" s="1"/>
  <c r="L32" i="30"/>
  <c r="D32" i="30"/>
  <c r="D31" i="30"/>
  <c r="F32" i="30"/>
  <c r="P31" i="30"/>
  <c r="P32" i="30" s="1"/>
  <c r="G31" i="30"/>
  <c r="O32" i="30"/>
  <c r="U31" i="30"/>
  <c r="H32" i="30"/>
  <c r="W29" i="30"/>
  <c r="K32" i="30"/>
  <c r="T30" i="30"/>
  <c r="U30" i="30" s="1"/>
  <c r="V30" i="30" s="1"/>
  <c r="V32" i="30" s="1"/>
  <c r="S32" i="30"/>
  <c r="I32" i="30"/>
  <c r="Q32" i="30"/>
  <c r="N32" i="30"/>
  <c r="J32" i="30"/>
  <c r="R32" i="30"/>
  <c r="M32" i="30"/>
  <c r="P31" i="29"/>
  <c r="P32" i="29" s="1"/>
  <c r="D32" i="29"/>
  <c r="H31" i="29"/>
  <c r="H32" i="29" s="1"/>
  <c r="I32" i="29"/>
  <c r="E32" i="29"/>
  <c r="W29" i="29"/>
  <c r="F31" i="29"/>
  <c r="F32" i="29" s="1"/>
  <c r="T31" i="29"/>
  <c r="T32" i="29" s="1"/>
  <c r="J32" i="28"/>
  <c r="M32" i="28"/>
  <c r="T32" i="28"/>
  <c r="G32" i="28"/>
  <c r="U32" i="28"/>
  <c r="B38" i="28"/>
  <c r="W29" i="28"/>
  <c r="B37" i="28"/>
  <c r="C37" i="28" s="1"/>
  <c r="L31" i="28"/>
  <c r="L32" i="28" s="1"/>
  <c r="R32" i="28"/>
  <c r="C31" i="28"/>
  <c r="K31" i="28"/>
  <c r="K32" i="28" s="1"/>
  <c r="D31" i="28"/>
  <c r="D32" i="28" s="1"/>
  <c r="E31" i="28"/>
  <c r="E32" i="28" s="1"/>
  <c r="V31" i="27"/>
  <c r="V32" i="27" s="1"/>
  <c r="M31" i="27"/>
  <c r="M32" i="27" s="1"/>
  <c r="H32" i="27"/>
  <c r="L31" i="27"/>
  <c r="L32" i="27" s="1"/>
  <c r="E31" i="27"/>
  <c r="T31" i="27"/>
  <c r="T32" i="27" s="1"/>
  <c r="J32" i="27"/>
  <c r="D32" i="27"/>
  <c r="W29" i="27"/>
  <c r="N32" i="26"/>
  <c r="P32" i="26"/>
  <c r="B37" i="26"/>
  <c r="C37" i="26" s="1"/>
  <c r="J31" i="26"/>
  <c r="M32" i="26"/>
  <c r="Q32" i="26"/>
  <c r="W29" i="26"/>
  <c r="L31" i="26"/>
  <c r="L32" i="26" s="1"/>
  <c r="B38" i="26"/>
  <c r="V32" i="26"/>
  <c r="D32" i="26"/>
  <c r="T31" i="26"/>
  <c r="T32" i="26" s="1"/>
  <c r="W23" i="25"/>
  <c r="K32" i="25"/>
  <c r="L29" i="25"/>
  <c r="N29" i="25"/>
  <c r="D29" i="25"/>
  <c r="C31" i="25"/>
  <c r="C32" i="25" s="1"/>
  <c r="V29" i="25"/>
  <c r="V31" i="25" s="1"/>
  <c r="P29" i="25"/>
  <c r="P31" i="25" s="1"/>
  <c r="P32" i="25" s="1"/>
  <c r="F29" i="25"/>
  <c r="I32" i="25"/>
  <c r="J29" i="25"/>
  <c r="J31" i="25" s="1"/>
  <c r="J32" i="25" s="1"/>
  <c r="H29" i="25"/>
  <c r="H31" i="25" s="1"/>
  <c r="Q29" i="25"/>
  <c r="Q31" i="25" s="1"/>
  <c r="Q32" i="25" s="1"/>
  <c r="O29" i="25"/>
  <c r="O31" i="25" s="1"/>
  <c r="M29" i="25"/>
  <c r="M31" i="25" s="1"/>
  <c r="W30" i="25"/>
  <c r="R32" i="25"/>
  <c r="U29" i="25"/>
  <c r="G29" i="25"/>
  <c r="G31" i="25" s="1"/>
  <c r="G32" i="25" s="1"/>
  <c r="E29" i="25"/>
  <c r="S31" i="25"/>
  <c r="S32" i="25" s="1"/>
  <c r="T29" i="25"/>
  <c r="T31" i="25" s="1"/>
  <c r="W31" i="32" l="1"/>
  <c r="W31" i="31"/>
  <c r="W31" i="30"/>
  <c r="W31" i="34"/>
  <c r="C32" i="34"/>
  <c r="W31" i="33"/>
  <c r="C32" i="33"/>
  <c r="E32" i="32"/>
  <c r="W32" i="32" s="1"/>
  <c r="C32" i="31"/>
  <c r="T32" i="30"/>
  <c r="W30" i="30"/>
  <c r="U32" i="30"/>
  <c r="G32" i="30"/>
  <c r="W32" i="29"/>
  <c r="W31" i="29"/>
  <c r="W31" i="28"/>
  <c r="C32" i="28"/>
  <c r="W31" i="27"/>
  <c r="E32" i="27"/>
  <c r="W31" i="26"/>
  <c r="J32" i="26"/>
  <c r="W29" i="25"/>
  <c r="T32" i="25"/>
  <c r="V32" i="25"/>
  <c r="L31" i="25"/>
  <c r="L32" i="25" s="1"/>
  <c r="U31" i="25"/>
  <c r="U32" i="25" s="1"/>
  <c r="N31" i="25"/>
  <c r="N32" i="25" s="1"/>
  <c r="M32" i="25"/>
  <c r="O32" i="25"/>
  <c r="H32" i="25"/>
  <c r="F31" i="25"/>
  <c r="F32" i="25" s="1"/>
  <c r="D31" i="25"/>
  <c r="E31" i="25"/>
  <c r="E32" i="25" s="1"/>
  <c r="D32" i="25"/>
  <c r="W32" i="34" l="1"/>
  <c r="W32" i="33"/>
  <c r="W32" i="31"/>
  <c r="W32" i="30"/>
  <c r="W32" i="28"/>
  <c r="W32" i="27"/>
  <c r="W32" i="26"/>
  <c r="W31" i="25"/>
  <c r="W32" i="25"/>
  <c r="B32" i="13"/>
  <c r="E30" i="13"/>
  <c r="W27" i="13"/>
  <c r="W26" i="13"/>
  <c r="W25" i="13"/>
  <c r="W24" i="13"/>
  <c r="F9" i="13"/>
  <c r="O23" i="13" s="1"/>
  <c r="F7" i="13"/>
  <c r="F24" i="12"/>
  <c r="F22" i="12"/>
  <c r="E62" i="12"/>
  <c r="F62" i="12" s="1"/>
  <c r="G62" i="12" s="1"/>
  <c r="H62" i="12" s="1"/>
  <c r="I62" i="12" s="1"/>
  <c r="J62" i="12" s="1"/>
  <c r="K62" i="12" s="1"/>
  <c r="L62" i="12" s="1"/>
  <c r="M62" i="12" s="1"/>
  <c r="N62" i="12" s="1"/>
  <c r="O62" i="12" s="1"/>
  <c r="P62" i="12" s="1"/>
  <c r="Q62" i="12" s="1"/>
  <c r="R62" i="12" s="1"/>
  <c r="S62" i="12" s="1"/>
  <c r="T62" i="12" s="1"/>
  <c r="U62" i="12" s="1"/>
  <c r="V62" i="12" s="1"/>
  <c r="C60" i="12"/>
  <c r="D60" i="12" s="1"/>
  <c r="E60" i="12" s="1"/>
  <c r="F60" i="12" s="1"/>
  <c r="G60" i="12" s="1"/>
  <c r="H60" i="12" s="1"/>
  <c r="I60" i="12" s="1"/>
  <c r="J60" i="12" s="1"/>
  <c r="K60" i="12" s="1"/>
  <c r="L60" i="12" s="1"/>
  <c r="M60" i="12" s="1"/>
  <c r="N60" i="12" s="1"/>
  <c r="O60" i="12" s="1"/>
  <c r="P60" i="12" s="1"/>
  <c r="Q60" i="12" s="1"/>
  <c r="R60" i="12" s="1"/>
  <c r="S60" i="12" s="1"/>
  <c r="T60" i="12" s="1"/>
  <c r="U60" i="12" s="1"/>
  <c r="V60" i="12" s="1"/>
  <c r="Q23" i="13" l="1"/>
  <c r="R23" i="13"/>
  <c r="W60" i="12"/>
  <c r="W62" i="12"/>
  <c r="Q29" i="13"/>
  <c r="O29" i="13"/>
  <c r="J23" i="13"/>
  <c r="S23" i="13"/>
  <c r="D23" i="13"/>
  <c r="L23" i="13"/>
  <c r="T23" i="13"/>
  <c r="C23" i="13"/>
  <c r="K23" i="13"/>
  <c r="E23" i="13"/>
  <c r="M23" i="13"/>
  <c r="U23" i="13"/>
  <c r="F23" i="13"/>
  <c r="N23" i="13"/>
  <c r="V23" i="13"/>
  <c r="E28" i="13"/>
  <c r="F28" i="13" s="1"/>
  <c r="G28" i="13" s="1"/>
  <c r="H28" i="13" s="1"/>
  <c r="I28" i="13" s="1"/>
  <c r="J28" i="13" s="1"/>
  <c r="K28" i="13" s="1"/>
  <c r="L28" i="13" s="1"/>
  <c r="M28" i="13" s="1"/>
  <c r="N28" i="13" s="1"/>
  <c r="O28" i="13" s="1"/>
  <c r="P28" i="13" s="1"/>
  <c r="Q28" i="13" s="1"/>
  <c r="R28" i="13" s="1"/>
  <c r="S28" i="13" s="1"/>
  <c r="T28" i="13" s="1"/>
  <c r="U28" i="13" s="1"/>
  <c r="V28" i="13" s="1"/>
  <c r="G23" i="13"/>
  <c r="H23" i="13"/>
  <c r="P23" i="13"/>
  <c r="F30" i="13"/>
  <c r="G30" i="13" s="1"/>
  <c r="H30" i="13" s="1"/>
  <c r="I30" i="13" s="1"/>
  <c r="J30" i="13" s="1"/>
  <c r="K30" i="13" s="1"/>
  <c r="L30" i="13" s="1"/>
  <c r="M30" i="13" s="1"/>
  <c r="N30" i="13" s="1"/>
  <c r="O30" i="13" s="1"/>
  <c r="P30" i="13" s="1"/>
  <c r="Q30" i="13" s="1"/>
  <c r="R30" i="13" s="1"/>
  <c r="S30" i="13" s="1"/>
  <c r="T30" i="13" s="1"/>
  <c r="U30" i="13" s="1"/>
  <c r="V30" i="13" s="1"/>
  <c r="I23" i="13"/>
  <c r="R29" i="13"/>
  <c r="W59" i="12"/>
  <c r="B58" i="12"/>
  <c r="B64" i="12" s="1"/>
  <c r="W57" i="12"/>
  <c r="W55" i="12"/>
  <c r="V54" i="12"/>
  <c r="U54" i="12"/>
  <c r="S54" i="12"/>
  <c r="S61" i="12" l="1"/>
  <c r="S63" i="12" s="1"/>
  <c r="U61" i="12"/>
  <c r="U63" i="12" s="1"/>
  <c r="V61" i="12"/>
  <c r="W23" i="13"/>
  <c r="C29" i="13"/>
  <c r="T29" i="13"/>
  <c r="T31" i="13" s="1"/>
  <c r="T32" i="13" s="1"/>
  <c r="L29" i="13"/>
  <c r="L31" i="13" s="1"/>
  <c r="I29" i="13"/>
  <c r="I31" i="13" s="1"/>
  <c r="F29" i="13"/>
  <c r="F31" i="13" s="1"/>
  <c r="F32" i="13" s="1"/>
  <c r="D29" i="13"/>
  <c r="D31" i="13" s="1"/>
  <c r="O31" i="13"/>
  <c r="O32" i="13" s="1"/>
  <c r="W30" i="13"/>
  <c r="U29" i="13"/>
  <c r="U31" i="13" s="1"/>
  <c r="U32" i="13" s="1"/>
  <c r="S29" i="13"/>
  <c r="S31" i="13" s="1"/>
  <c r="S32" i="13" s="1"/>
  <c r="W28" i="13"/>
  <c r="N29" i="13"/>
  <c r="N31" i="13" s="1"/>
  <c r="N32" i="13" s="1"/>
  <c r="H29" i="13"/>
  <c r="H31" i="13" s="1"/>
  <c r="J29" i="13"/>
  <c r="J31" i="13" s="1"/>
  <c r="V29" i="13"/>
  <c r="V31" i="13" s="1"/>
  <c r="V32" i="13" s="1"/>
  <c r="P29" i="13"/>
  <c r="P31" i="13" s="1"/>
  <c r="P32" i="13" s="1"/>
  <c r="E29" i="13"/>
  <c r="M29" i="13"/>
  <c r="M31" i="13" s="1"/>
  <c r="G29" i="13"/>
  <c r="G31" i="13" s="1"/>
  <c r="K29" i="13"/>
  <c r="K31" i="13" s="1"/>
  <c r="K32" i="13" s="1"/>
  <c r="R31" i="13"/>
  <c r="R32" i="13" s="1"/>
  <c r="Q31" i="13"/>
  <c r="Q32" i="13" s="1"/>
  <c r="I54" i="12"/>
  <c r="L54" i="12"/>
  <c r="D54" i="12"/>
  <c r="N54" i="12"/>
  <c r="E54" i="12"/>
  <c r="O54" i="12"/>
  <c r="M54" i="12"/>
  <c r="F54" i="12"/>
  <c r="P54" i="12"/>
  <c r="G54" i="12"/>
  <c r="Q54" i="12"/>
  <c r="H54" i="12"/>
  <c r="T54" i="12"/>
  <c r="J54" i="12"/>
  <c r="R54" i="12"/>
  <c r="C54" i="12"/>
  <c r="K54" i="12"/>
  <c r="F61" i="12" l="1"/>
  <c r="F63" i="12"/>
  <c r="U64" i="12"/>
  <c r="E61" i="12"/>
  <c r="Q63" i="12"/>
  <c r="D61" i="12"/>
  <c r="D63" i="12"/>
  <c r="D64" i="12" s="1"/>
  <c r="G61" i="12"/>
  <c r="G64" i="12" s="1"/>
  <c r="G63" i="12"/>
  <c r="V63" i="12"/>
  <c r="V64" i="12" s="1"/>
  <c r="N61" i="12"/>
  <c r="L61" i="12"/>
  <c r="H61" i="12"/>
  <c r="K61" i="12"/>
  <c r="K63" i="12" s="1"/>
  <c r="P61" i="12"/>
  <c r="I61" i="12"/>
  <c r="C61" i="12"/>
  <c r="C63" i="12" s="1"/>
  <c r="Q61" i="12"/>
  <c r="R61" i="12"/>
  <c r="R63" i="12" s="1"/>
  <c r="M61" i="12"/>
  <c r="M63" i="12" s="1"/>
  <c r="J61" i="12"/>
  <c r="O61" i="12"/>
  <c r="S64" i="12"/>
  <c r="T61" i="12"/>
  <c r="T63" i="12" s="1"/>
  <c r="D32" i="13"/>
  <c r="G32" i="13"/>
  <c r="L32" i="13"/>
  <c r="E31" i="13"/>
  <c r="E32" i="13" s="1"/>
  <c r="J32" i="13"/>
  <c r="I32" i="13"/>
  <c r="W29" i="13"/>
  <c r="M32" i="13"/>
  <c r="H32" i="13"/>
  <c r="C31" i="13"/>
  <c r="C32" i="13" s="1"/>
  <c r="W54" i="12"/>
  <c r="F64" i="12" l="1"/>
  <c r="P63" i="12"/>
  <c r="P64" i="12" s="1"/>
  <c r="I63" i="12"/>
  <c r="I64" i="12" s="1"/>
  <c r="E63" i="12"/>
  <c r="E64" i="12" s="1"/>
  <c r="T64" i="12"/>
  <c r="N63" i="12"/>
  <c r="N64" i="12" s="1"/>
  <c r="M64" i="12"/>
  <c r="J63" i="12"/>
  <c r="J64" i="12" s="1"/>
  <c r="O63" i="12"/>
  <c r="O64" i="12" s="1"/>
  <c r="Q64" i="12"/>
  <c r="L63" i="12"/>
  <c r="L64" i="12" s="1"/>
  <c r="H63" i="12"/>
  <c r="H64" i="12" s="1"/>
  <c r="C64" i="12"/>
  <c r="K64" i="12"/>
  <c r="R64" i="12"/>
  <c r="W61" i="12"/>
  <c r="B69" i="12"/>
  <c r="B70" i="12"/>
  <c r="W31" i="13"/>
  <c r="W32" i="13"/>
  <c r="W58" i="12"/>
  <c r="B78" i="12" l="1"/>
  <c r="B77" i="12"/>
  <c r="W64" i="12"/>
  <c r="W63" i="12"/>
</calcChain>
</file>

<file path=xl/sharedStrings.xml><?xml version="1.0" encoding="utf-8"?>
<sst xmlns="http://schemas.openxmlformats.org/spreadsheetml/2006/main" count="910" uniqueCount="115">
  <si>
    <t xml:space="preserve">วัน </t>
  </si>
  <si>
    <t xml:space="preserve">ค่าไฟฟ้า คิดยูนิตละ </t>
  </si>
  <si>
    <t>ประมาณการ</t>
  </si>
  <si>
    <t>รายการ</t>
  </si>
  <si>
    <t>ปีที่ 0</t>
  </si>
  <si>
    <t>ปีที่ 1</t>
  </si>
  <si>
    <t>ปีที่ 2</t>
  </si>
  <si>
    <t>ปีที่ 3</t>
  </si>
  <si>
    <t>ปีที่ 4</t>
  </si>
  <si>
    <t>ปีที่ 5</t>
  </si>
  <si>
    <t>ปีที่ 6</t>
  </si>
  <si>
    <t>ปีที่ 7</t>
  </si>
  <si>
    <t>ปีที่ 8</t>
  </si>
  <si>
    <t>ปีที่ 9</t>
  </si>
  <si>
    <t>ปีที่ 10</t>
  </si>
  <si>
    <t>ปีที่ 11</t>
  </si>
  <si>
    <t>ปีที่ 12</t>
  </si>
  <si>
    <t>ปีที่ 13</t>
  </si>
  <si>
    <t>ปีที่ 14</t>
  </si>
  <si>
    <t>ปีที่ 15</t>
  </si>
  <si>
    <t>ปีที่ 16</t>
  </si>
  <si>
    <t>ปีที่ 17</t>
  </si>
  <si>
    <t>ปีที่ 18</t>
  </si>
  <si>
    <t>ปีที่ 19</t>
  </si>
  <si>
    <t>ปีที่ 20</t>
  </si>
  <si>
    <t>รายจ่าย</t>
  </si>
  <si>
    <t>รายรับ</t>
  </si>
  <si>
    <t>IRR</t>
  </si>
  <si>
    <t>หมายเหตุ</t>
  </si>
  <si>
    <t>เงินลงทุน (ผู้ลงทุน)</t>
  </si>
  <si>
    <t>เท่า ของเงินลงทุน</t>
  </si>
  <si>
    <t>Break even Point</t>
  </si>
  <si>
    <t xml:space="preserve"> </t>
  </si>
  <si>
    <t>บาท</t>
  </si>
  <si>
    <t>ภาษี</t>
  </si>
  <si>
    <t>NPV (rate 5.0%)</t>
  </si>
  <si>
    <r>
      <t>รายได้บริษัท</t>
    </r>
    <r>
      <rPr>
        <i/>
        <sz val="11"/>
        <color rgb="FFC00000"/>
        <rFont val="Calibri"/>
        <family val="2"/>
        <scheme val="minor"/>
      </rPr>
      <t>ก่อนหักภาษี</t>
    </r>
  </si>
  <si>
    <t>1.ค่าไฟฟ้าจากหน่วยงานที่บริษัทติดตั้ง</t>
  </si>
  <si>
    <t>2.เงินลงทุนจากผู้ร่วมลงทุน</t>
  </si>
  <si>
    <t>ลงทุนค่าห้องปฏิบัติการให้แก่ มทร.</t>
  </si>
  <si>
    <t xml:space="preserve">   ผลิตไฟฟ้าได้วันละ </t>
  </si>
  <si>
    <t xml:space="preserve">   TOU</t>
  </si>
  <si>
    <t xml:space="preserve">         Peak</t>
  </si>
  <si>
    <t xml:space="preserve">        Off Peak</t>
  </si>
  <si>
    <t xml:space="preserve">               จำนวนวันต่อปี</t>
  </si>
  <si>
    <t>บาท/เดือน</t>
  </si>
  <si>
    <t>ค่าบำรุงรักษา</t>
  </si>
  <si>
    <t>(คำนวณจากฐานการลงทุน)</t>
  </si>
  <si>
    <t>ค่าบำรุงรักษา - สำรองค่าบำรุงรักษาตั้งแต่ปีที่ 3 เป็นต้นไป</t>
  </si>
  <si>
    <t>ภาษีธุรกิจ</t>
  </si>
  <si>
    <t>จากกำไรสุทธิ</t>
  </si>
  <si>
    <t>ลงทุนติดตั้งแผงโซล่าร์เซลล์และอุปกรณ์</t>
  </si>
  <si>
    <t>ลงุทนค่าห้องปฏิบัติการ</t>
  </si>
  <si>
    <t>จ่ายคืนผู้ลงทุน ( 130 ล้านบาท)</t>
  </si>
  <si>
    <t>ค่าไฟฟ้าจากหน่วยงาน (ภาพรวม)</t>
  </si>
  <si>
    <t>ค่าใช้จ่ายในการบริหาร (ควบคุมดูแล)</t>
  </si>
  <si>
    <t>ผลตอบแทนให้แก่ IND</t>
  </si>
  <si>
    <t>ค่าใช้จ่ายในการบริหาร  - เดือนละ 300,000 บาท (จำนวน 10 คน)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</si>
  <si>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459.54</t>
    </r>
    <r>
      <rPr>
        <sz val="10"/>
        <rFont val="Tahoma"/>
        <family val="2"/>
      </rPr>
      <t xml:space="preserve"> ยูนิต)</t>
    </r>
  </si>
  <si>
    <t>2.เงินลงทุนจากผู้ร่วมลงทุน (ภาพรวม)</t>
  </si>
  <si>
    <t>ลงทุนค่าห้องปฏิบัติการให้แก่ มทร. (ภาพรวม)</t>
  </si>
  <si>
    <t>ลงทุนติดตั้งแผงโซล่าร์เซลล์ ให้แก่ มทร.เชียงราย</t>
  </si>
  <si>
    <t xml:space="preserve">จ่ายคืนผู้ลงทุน 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</si>
  <si>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604.44</t>
    </r>
    <r>
      <rPr>
        <sz val="10"/>
        <rFont val="Tahoma"/>
        <family val="2"/>
      </rPr>
      <t xml:space="preserve"> ยูนิต)</t>
    </r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</si>
  <si>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341.55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</si>
  <si>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 ให้แก่ มทร.เชียงใหม่</t>
  </si>
  <si>
    <t>ลงทุนติดตั้งแผงโซล่าร์เซลล์ ให้แก่ มทร.ตาก (มิเตอร์ 1)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</si>
  <si>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408.48</t>
    </r>
    <r>
      <rPr>
        <sz val="10"/>
        <rFont val="Tahoma"/>
        <family val="2"/>
      </rPr>
      <t xml:space="preserve"> ยูนิต)</t>
    </r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</si>
  <si>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110.4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</si>
  <si>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ลงทุนติดตั้งแผงโซล่าร์เซลล์และอุปกรณ์ (รายละเอียดตามเอกสารแนบ)</t>
  </si>
  <si>
    <t>ลงทุนติดตั้งแผงโซล่าร์เซลล์ ให้แก่ มทร.ตาก (มิเตอร์ 2)</t>
  </si>
  <si>
    <t>ลงทุนติดตั้งแผงโซล่าร์เซลล์ ให้แก่ มทร.ตาก (มิเตอร์ 3)</t>
  </si>
  <si>
    <t>ลงทุนติดตั้งแผงโซล่าร์เซลล์ ให้แก่ มทร.น่าน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</si>
  <si>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139.38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</si>
  <si>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 ให้แก่ มทร.พิษณุโลก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</si>
  <si>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350.52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</si>
  <si>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 ให้แก่ มทร.ภาคพายัพ เชียงใหม่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</si>
  <si>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999.8</t>
    </r>
    <r>
      <rPr>
        <sz val="10"/>
        <rFont val="Tahoma"/>
        <family val="2"/>
      </rPr>
      <t xml:space="preserve"> ยูนิต)</t>
    </r>
  </si>
  <si>
    <t>ลงทุนติดตั้งแผงโซล่าร์เซลล์ ให้แก่ มทร.ภาคพายัพ เจ็ดยอด</t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</si>
  <si>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149.04</t>
    </r>
    <r>
      <rPr>
        <sz val="10"/>
        <rFont val="Tahoma"/>
        <family val="2"/>
      </rPr>
      <t xml:space="preserve"> ยูนิต)</t>
    </r>
  </si>
  <si>
    <r>
      <t xml:space="preserve">ยูนิต (คำนวณ วันละ  </t>
    </r>
    <r>
      <rPr>
        <sz val="10"/>
        <color rgb="FFFF0000"/>
        <rFont val="Tahoma"/>
        <family val="2"/>
      </rPr>
      <t>5</t>
    </r>
    <r>
      <rPr>
        <sz val="10"/>
        <rFont val="Tahoma"/>
        <family val="2"/>
      </rPr>
      <t xml:space="preserve"> ชม. คิดชม.ละ </t>
    </r>
    <r>
      <rPr>
        <sz val="10"/>
        <color rgb="FFFF0000"/>
        <rFont val="Tahoma"/>
        <family val="2"/>
      </rPr>
      <t>536.06</t>
    </r>
    <r>
      <rPr>
        <sz val="10"/>
        <rFont val="Tahoma"/>
        <family val="2"/>
      </rPr>
      <t xml:space="preserve"> ยูนิต)</t>
    </r>
  </si>
  <si>
    <t xml:space="preserve">   1.1 มทร.เชียงใหม่</t>
  </si>
  <si>
    <t xml:space="preserve">   1.2 มทร.เชียงราย</t>
  </si>
  <si>
    <t xml:space="preserve">   1.3 มทร.ดอยสะเก็ด</t>
  </si>
  <si>
    <t xml:space="preserve">   1.4  มทร.ตาก(มิเตอร์ 1)</t>
  </si>
  <si>
    <t xml:space="preserve">   1.5  มทร.ตาก(มิเตอร์ 2)</t>
  </si>
  <si>
    <t xml:space="preserve">   1.6  มทร.ตาก(มิเตอร์ 3)</t>
  </si>
  <si>
    <t xml:space="preserve">   1.7  มทร.น่าน</t>
  </si>
  <si>
    <t xml:space="preserve">   1.8  มทร.พิษณุโลก</t>
  </si>
  <si>
    <t xml:space="preserve">   1.9  มทร.ภาคพายัพ เชียงใหม่</t>
  </si>
  <si>
    <t xml:space="preserve">   1.10  มทร.ภาคพายัพ เจ็ดยอด</t>
  </si>
  <si>
    <t xml:space="preserve">   1.11  มทร.ลำปาง</t>
  </si>
  <si>
    <t xml:space="preserve">1.ค่าไฟฟ้าจากหน่วยงานที่บริษัทติดตั้ง จำนวน 11 แห่ง     </t>
  </si>
  <si>
    <t>กำลังการผลิด/ชั่วโมง</t>
  </si>
  <si>
    <t>รวม</t>
  </si>
  <si>
    <t xml:space="preserve">คำนวณการใช้ไฟจริง ปี 2566-67 </t>
  </si>
  <si>
    <t>ประมาณการ การใช้ไฟ</t>
  </si>
  <si>
    <t xml:space="preserve">คำนวณค่าอุปกรณ์การติดตั้งแผงโซล่าร์เซลล์ </t>
  </si>
  <si>
    <t xml:space="preserve">1.ค่าอุปกรณ์และการติดตั้งแผงโซล่าร์เซลล์ จำนวน 11 แห่ง     </t>
  </si>
  <si>
    <t>ต้นทุนติดตั้งแผงโซล่าร์เซลล์และอุปกรณ์ให้แก่ มทร.</t>
  </si>
  <si>
    <r>
      <t xml:space="preserve">ยูนิต (คำนวณ วันละ  </t>
    </r>
    <r>
      <rPr>
        <sz val="16"/>
        <color rgb="FFFF0000"/>
        <rFont val="Angsana New"/>
        <family val="1"/>
      </rPr>
      <t>5</t>
    </r>
    <r>
      <rPr>
        <sz val="16"/>
        <rFont val="Angsana New"/>
        <family val="1"/>
      </rPr>
      <t xml:space="preserve"> ชม. คิดชม.ละ </t>
    </r>
    <r>
      <rPr>
        <sz val="16"/>
        <color rgb="FFFF0000"/>
        <rFont val="Angsana New"/>
        <family val="1"/>
      </rPr>
      <t>5,000</t>
    </r>
    <r>
      <rPr>
        <sz val="16"/>
        <rFont val="Angsana New"/>
        <family val="1"/>
      </rPr>
      <t xml:space="preserve"> ยูนิต)</t>
    </r>
  </si>
  <si>
    <t>ค่าห้องปฏิบัติการ (ตามข้อตกลง)</t>
  </si>
  <si>
    <t>เงินทุนสำรองค่าบำรุงรักษาอุปกรณ์และสิ่งก่อสร้าง</t>
  </si>
  <si>
    <t>รายได้บริษัท ANE</t>
  </si>
  <si>
    <t>ผลตอบแทนบริษัท ANE</t>
  </si>
  <si>
    <t xml:space="preserve">        วันหยุด</t>
  </si>
  <si>
    <t>1. รายได้จากการใช้ไฟฟ้า</t>
  </si>
  <si>
    <t>2. เงินลงทุนจากผู้ร่วมลงทุน</t>
  </si>
  <si>
    <t xml:space="preserve">               ประมาณการการใช้ไฟฟ้าวันละ </t>
  </si>
  <si>
    <t xml:space="preserve">              ประมาณการการใช้ไฟฟ้าวันละ </t>
  </si>
  <si>
    <r>
      <t xml:space="preserve">ยูนิต (คำนวณ วันละ  </t>
    </r>
    <r>
      <rPr>
        <sz val="16"/>
        <color rgb="FFFF0000"/>
        <rFont val="Angsana New"/>
        <family val="1"/>
      </rPr>
      <t>5</t>
    </r>
    <r>
      <rPr>
        <sz val="16"/>
        <rFont val="Angsana New"/>
        <family val="1"/>
      </rPr>
      <t xml:space="preserve"> ชม. ใช้ ชม.ละ </t>
    </r>
    <r>
      <rPr>
        <sz val="16"/>
        <color rgb="FFFF0000"/>
        <rFont val="Angsana New"/>
        <family val="1"/>
      </rPr>
      <t>3,000</t>
    </r>
    <r>
      <rPr>
        <sz val="16"/>
        <rFont val="Angsana New"/>
        <family val="1"/>
      </rPr>
      <t xml:space="preserve"> ยูนิต)</t>
    </r>
  </si>
  <si>
    <r>
      <t xml:space="preserve">ยูนิต (คำนวณ วันละ  </t>
    </r>
    <r>
      <rPr>
        <sz val="16"/>
        <color rgb="FFFF0000"/>
        <rFont val="Angsana New"/>
        <family val="1"/>
      </rPr>
      <t>5</t>
    </r>
    <r>
      <rPr>
        <sz val="16"/>
        <rFont val="Angsana New"/>
        <family val="1"/>
      </rPr>
      <t xml:space="preserve"> ชม. ใช้ ชม.ละ </t>
    </r>
    <r>
      <rPr>
        <sz val="16"/>
        <color rgb="FFFF0000"/>
        <rFont val="Angsana New"/>
        <family val="1"/>
      </rPr>
      <t>5,000</t>
    </r>
    <r>
      <rPr>
        <sz val="16"/>
        <rFont val="Angsana New"/>
        <family val="1"/>
      </rPr>
      <t xml:space="preserve"> ยูนิต)</t>
    </r>
  </si>
  <si>
    <t xml:space="preserve">      อัตราการเพิ่ม</t>
  </si>
  <si>
    <t>(คำนวณจากฐานค่าใช้จ่าย ที่เพิ่มขึ้นทุกปี)</t>
  </si>
  <si>
    <t xml:space="preserve">        วันทำงานปกติ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</si>
</sst>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00_);_(* \(#,##0.000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ordia New"/>
      <family val="2"/>
    </font>
    <font>
      <sz val="10"/>
      <name val="Tahoma"/>
      <family val="2"/>
    </font>
    <font>
      <sz val="10"/>
      <color rgb="FFFF0000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i/>
      <sz val="10"/>
      <name val="Tahoma"/>
      <family val="2"/>
    </font>
    <font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11"/>
      <color theme="8"/>
      <name val="Calibri"/>
      <family val="2"/>
      <scheme val="minor"/>
    </font>
    <font>
      <b/>
      <i/>
      <sz val="11"/>
      <color theme="8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9" tint="0.79998168889431442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6"/>
      <color theme="1"/>
      <name val="Angsana New"/>
      <family val="1"/>
    </font>
    <font>
      <sz val="16"/>
      <name val="Angsana New"/>
      <family val="1"/>
    </font>
    <font>
      <sz val="16"/>
      <color theme="4" tint="-0.499984740745262"/>
      <name val="Angsana New"/>
      <family val="1"/>
    </font>
    <font>
      <b/>
      <sz val="16"/>
      <color theme="4" tint="-0.499984740745262"/>
      <name val="Angsana New"/>
      <family val="1"/>
    </font>
    <font>
      <b/>
      <sz val="16"/>
      <color theme="1"/>
      <name val="Angsana New"/>
      <family val="1"/>
    </font>
    <font>
      <sz val="16"/>
      <color rgb="FFFF0000"/>
      <name val="Angsana New"/>
      <family val="1"/>
    </font>
    <font>
      <b/>
      <sz val="16"/>
      <name val="Angsana New"/>
      <family val="1"/>
    </font>
    <font>
      <i/>
      <sz val="16"/>
      <name val="Angsana New"/>
      <family val="1"/>
    </font>
    <font>
      <i/>
      <sz val="16"/>
      <color theme="1"/>
      <name val="Angsana New"/>
      <family val="1"/>
    </font>
    <font>
      <b/>
      <i/>
      <sz val="16"/>
      <color rgb="FFFF0000"/>
      <name val="Angsana New"/>
      <family val="1"/>
    </font>
    <font>
      <i/>
      <sz val="16"/>
      <color rgb="FFFF0000"/>
      <name val="Angsana New"/>
      <family val="1"/>
    </font>
    <font>
      <i/>
      <sz val="16"/>
      <color rgb="FFC00000"/>
      <name val="Angsana New"/>
      <family val="1"/>
    </font>
    <font>
      <sz val="16"/>
      <color theme="0"/>
      <name val="Angsana New"/>
      <family val="1"/>
    </font>
    <font>
      <sz val="16"/>
      <color theme="2"/>
      <name val="Angsana New"/>
      <family val="1"/>
    </font>
    <font>
      <b/>
      <i/>
      <sz val="16"/>
      <color theme="1"/>
      <name val="Angsana New"/>
      <family val="1"/>
    </font>
    <font>
      <sz val="16"/>
      <color rgb="FFC00000"/>
      <name val="Angsana New"/>
      <family val="1"/>
    </font>
    <font>
      <b/>
      <sz val="16"/>
      <color rgb="FFFF0000"/>
      <name val="Angsana New"/>
      <family val="1"/>
    </font>
    <font>
      <b/>
      <sz val="18"/>
      <color theme="4" tint="-0.499984740745262"/>
      <name val="Angsana New"/>
      <family val="1"/>
    </font>
    <font>
      <i/>
      <sz val="16"/>
      <color theme="0"/>
      <name val="Angsana New"/>
      <family val="1"/>
    </font>
    <font>
      <i/>
      <sz val="16"/>
      <color theme="9" tint="0.79998168889431442"/>
      <name val="Angsana New"/>
      <family val="1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65">
    <xf numFmtId="0" fontId="0" fillId="0" borderId="0" xfId="0"/>
    <xf numFmtId="0" fontId="4" fillId="0" borderId="0" xfId="3" applyFont="1" applyAlignment="1" applyProtection="1">
      <alignment vertical="center"/>
      <protection locked="0"/>
    </xf>
    <xf numFmtId="165" fontId="4" fillId="0" borderId="0" xfId="4" applyNumberFormat="1" applyFont="1" applyFill="1" applyBorder="1" applyAlignment="1" applyProtection="1">
      <alignment vertical="center"/>
      <protection locked="0"/>
    </xf>
    <xf numFmtId="37" fontId="4" fillId="0" borderId="0" xfId="3" applyNumberFormat="1" applyFont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6" fillId="0" borderId="0" xfId="0" applyFont="1"/>
    <xf numFmtId="43" fontId="6" fillId="0" borderId="0" xfId="1" applyFont="1"/>
    <xf numFmtId="43" fontId="6" fillId="0" borderId="0" xfId="0" applyNumberFormat="1" applyFont="1"/>
    <xf numFmtId="0" fontId="6" fillId="0" borderId="0" xfId="0" applyFont="1" applyAlignment="1">
      <alignment horizontal="center"/>
    </xf>
    <xf numFmtId="43" fontId="7" fillId="0" borderId="0" xfId="0" applyNumberFormat="1" applyFont="1"/>
    <xf numFmtId="43" fontId="8" fillId="0" borderId="0" xfId="0" applyNumberFormat="1" applyFont="1"/>
    <xf numFmtId="0" fontId="9" fillId="2" borderId="0" xfId="0" applyFont="1" applyFill="1"/>
    <xf numFmtId="8" fontId="9" fillId="2" borderId="0" xfId="0" applyNumberFormat="1" applyFont="1" applyFill="1"/>
    <xf numFmtId="10" fontId="9" fillId="2" borderId="0" xfId="2" applyNumberFormat="1" applyFont="1" applyFill="1"/>
    <xf numFmtId="0" fontId="10" fillId="0" borderId="0" xfId="0" applyFont="1"/>
    <xf numFmtId="43" fontId="10" fillId="0" borderId="0" xfId="0" applyNumberFormat="1" applyFont="1"/>
    <xf numFmtId="0" fontId="2" fillId="0" borderId="0" xfId="0" applyFont="1"/>
    <xf numFmtId="43" fontId="11" fillId="0" borderId="0" xfId="0" applyNumberFormat="1" applyFont="1"/>
    <xf numFmtId="2" fontId="0" fillId="0" borderId="0" xfId="0" applyNumberFormat="1"/>
    <xf numFmtId="164" fontId="0" fillId="0" borderId="0" xfId="0" applyNumberFormat="1"/>
    <xf numFmtId="43" fontId="9" fillId="2" borderId="0" xfId="1" applyFont="1" applyFill="1"/>
    <xf numFmtId="0" fontId="12" fillId="0" borderId="0" xfId="0" applyFont="1"/>
    <xf numFmtId="43" fontId="12" fillId="0" borderId="0" xfId="0" applyNumberFormat="1" applyFont="1"/>
    <xf numFmtId="0" fontId="13" fillId="0" borderId="0" xfId="3" applyFont="1" applyAlignment="1" applyProtection="1">
      <alignment vertical="center"/>
      <protection locked="0"/>
    </xf>
    <xf numFmtId="0" fontId="14" fillId="3" borderId="0" xfId="3" applyFont="1" applyFill="1" applyAlignment="1" applyProtection="1">
      <alignment vertical="center"/>
      <protection locked="0"/>
    </xf>
    <xf numFmtId="0" fontId="6" fillId="5" borderId="0" xfId="0" applyFont="1" applyFill="1"/>
    <xf numFmtId="43" fontId="6" fillId="5" borderId="0" xfId="0" applyNumberFormat="1" applyFont="1" applyFill="1"/>
    <xf numFmtId="43" fontId="15" fillId="0" borderId="0" xfId="1" applyFont="1"/>
    <xf numFmtId="0" fontId="16" fillId="0" borderId="0" xfId="0" applyFont="1"/>
    <xf numFmtId="43" fontId="16" fillId="0" borderId="0" xfId="0" applyNumberFormat="1" applyFont="1"/>
    <xf numFmtId="166" fontId="4" fillId="4" borderId="0" xfId="1" applyNumberFormat="1" applyFont="1" applyFill="1" applyAlignment="1" applyProtection="1">
      <alignment vertical="center"/>
      <protection locked="0"/>
    </xf>
    <xf numFmtId="0" fontId="17" fillId="0" borderId="0" xfId="0" applyFont="1"/>
    <xf numFmtId="43" fontId="17" fillId="0" borderId="0" xfId="0" applyNumberFormat="1" applyFont="1"/>
    <xf numFmtId="43" fontId="18" fillId="0" borderId="0" xfId="0" applyNumberFormat="1" applyFont="1"/>
    <xf numFmtId="0" fontId="19" fillId="5" borderId="0" xfId="0" applyFont="1" applyFill="1"/>
    <xf numFmtId="0" fontId="19" fillId="0" borderId="0" xfId="0" applyFont="1"/>
    <xf numFmtId="166" fontId="4" fillId="0" borderId="0" xfId="1" applyNumberFormat="1" applyFont="1" applyFill="1" applyAlignment="1" applyProtection="1">
      <alignment vertical="center"/>
      <protection locked="0"/>
    </xf>
    <xf numFmtId="0" fontId="0" fillId="5" borderId="0" xfId="0" applyFill="1"/>
    <xf numFmtId="0" fontId="4" fillId="5" borderId="0" xfId="3" applyFont="1" applyFill="1" applyAlignment="1" applyProtection="1">
      <alignment vertical="center"/>
      <protection locked="0"/>
    </xf>
    <xf numFmtId="37" fontId="4" fillId="5" borderId="0" xfId="3" applyNumberFormat="1" applyFont="1" applyFill="1" applyAlignment="1" applyProtection="1">
      <alignment vertical="center"/>
      <protection locked="0"/>
    </xf>
    <xf numFmtId="166" fontId="4" fillId="5" borderId="0" xfId="1" applyNumberFormat="1" applyFont="1" applyFill="1" applyAlignment="1" applyProtection="1">
      <alignment vertical="center"/>
      <protection locked="0"/>
    </xf>
    <xf numFmtId="9" fontId="4" fillId="0" borderId="0" xfId="2" applyFont="1" applyFill="1" applyAlignment="1" applyProtection="1">
      <alignment vertical="center"/>
      <protection locked="0"/>
    </xf>
    <xf numFmtId="164" fontId="6" fillId="0" borderId="0" xfId="0" applyNumberFormat="1" applyFont="1" applyAlignment="1">
      <alignment horizontal="center"/>
    </xf>
    <xf numFmtId="165" fontId="20" fillId="5" borderId="0" xfId="0" applyNumberFormat="1" applyFont="1" applyFill="1"/>
    <xf numFmtId="43" fontId="21" fillId="0" borderId="0" xfId="1" applyFont="1"/>
    <xf numFmtId="0" fontId="22" fillId="6" borderId="0" xfId="0" applyFont="1" applyFill="1"/>
    <xf numFmtId="0" fontId="22" fillId="0" borderId="0" xfId="0" applyFont="1"/>
    <xf numFmtId="0" fontId="23" fillId="0" borderId="0" xfId="3" applyFont="1" applyAlignment="1" applyProtection="1">
      <alignment vertical="center"/>
      <protection locked="0"/>
    </xf>
    <xf numFmtId="0" fontId="24" fillId="6" borderId="0" xfId="0" applyFont="1" applyFill="1"/>
    <xf numFmtId="43" fontId="22" fillId="6" borderId="0" xfId="1" applyFont="1" applyFill="1"/>
    <xf numFmtId="0" fontId="25" fillId="9" borderId="0" xfId="0" applyFont="1" applyFill="1" applyAlignment="1">
      <alignment horizontal="right"/>
    </xf>
    <xf numFmtId="43" fontId="26" fillId="9" borderId="0" xfId="0" applyNumberFormat="1" applyFont="1" applyFill="1"/>
    <xf numFmtId="0" fontId="24" fillId="0" borderId="0" xfId="0" applyFont="1" applyAlignment="1">
      <alignment horizontal="right"/>
    </xf>
    <xf numFmtId="43" fontId="22" fillId="0" borderId="0" xfId="0" applyNumberFormat="1" applyFont="1"/>
    <xf numFmtId="0" fontId="22" fillId="5" borderId="0" xfId="0" applyFont="1" applyFill="1"/>
    <xf numFmtId="0" fontId="23" fillId="5" borderId="0" xfId="3" applyFont="1" applyFill="1" applyAlignment="1" applyProtection="1">
      <alignment vertical="center"/>
      <protection locked="0"/>
    </xf>
    <xf numFmtId="0" fontId="24" fillId="0" borderId="0" xfId="0" applyFont="1" applyAlignment="1">
      <alignment horizontal="left"/>
    </xf>
    <xf numFmtId="165" fontId="23" fillId="0" borderId="0" xfId="4" applyNumberFormat="1" applyFont="1" applyFill="1" applyBorder="1" applyAlignment="1" applyProtection="1">
      <alignment vertical="center"/>
      <protection locked="0"/>
    </xf>
    <xf numFmtId="0" fontId="28" fillId="0" borderId="0" xfId="3" applyFont="1" applyAlignment="1" applyProtection="1">
      <alignment vertical="center"/>
      <protection locked="0"/>
    </xf>
    <xf numFmtId="0" fontId="29" fillId="3" borderId="0" xfId="3" applyFont="1" applyFill="1" applyAlignment="1" applyProtection="1">
      <alignment vertical="center"/>
      <protection locked="0"/>
    </xf>
    <xf numFmtId="37" fontId="23" fillId="0" borderId="0" xfId="3" applyNumberFormat="1" applyFont="1" applyAlignment="1" applyProtection="1">
      <alignment vertical="center"/>
      <protection locked="0"/>
    </xf>
    <xf numFmtId="166" fontId="23" fillId="4" borderId="0" xfId="1" applyNumberFormat="1" applyFont="1" applyFill="1" applyAlignment="1" applyProtection="1">
      <alignment vertical="center"/>
      <protection locked="0"/>
    </xf>
    <xf numFmtId="0" fontId="24" fillId="0" borderId="0" xfId="0" applyFont="1"/>
    <xf numFmtId="166" fontId="23" fillId="0" borderId="0" xfId="1" applyNumberFormat="1" applyFont="1" applyFill="1" applyAlignment="1" applyProtection="1">
      <alignment vertical="center"/>
      <protection locked="0"/>
    </xf>
    <xf numFmtId="37" fontId="23" fillId="5" borderId="0" xfId="3" applyNumberFormat="1" applyFont="1" applyFill="1" applyAlignment="1" applyProtection="1">
      <alignment vertical="center"/>
      <protection locked="0"/>
    </xf>
    <xf numFmtId="166" fontId="23" fillId="5" borderId="0" xfId="1" applyNumberFormat="1" applyFont="1" applyFill="1" applyAlignment="1" applyProtection="1">
      <alignment vertical="center"/>
      <protection locked="0"/>
    </xf>
    <xf numFmtId="0" fontId="22" fillId="8" borderId="0" xfId="0" applyFont="1" applyFill="1"/>
    <xf numFmtId="0" fontId="24" fillId="8" borderId="0" xfId="0" applyFont="1" applyFill="1"/>
    <xf numFmtId="43" fontId="22" fillId="8" borderId="0" xfId="1" applyFont="1" applyFill="1"/>
    <xf numFmtId="0" fontId="25" fillId="7" borderId="0" xfId="0" applyFont="1" applyFill="1" applyAlignment="1">
      <alignment horizontal="right"/>
    </xf>
    <xf numFmtId="43" fontId="26" fillId="7" borderId="0" xfId="0" applyNumberFormat="1" applyFont="1" applyFill="1"/>
    <xf numFmtId="9" fontId="23" fillId="0" borderId="0" xfId="2" applyFont="1" applyFill="1" applyAlignment="1" applyProtection="1">
      <alignment vertical="center"/>
      <protection locked="0"/>
    </xf>
    <xf numFmtId="0" fontId="22" fillId="0" borderId="0" xfId="0" applyFont="1" applyAlignment="1">
      <alignment horizontal="center"/>
    </xf>
    <xf numFmtId="0" fontId="30" fillId="0" borderId="0" xfId="0" applyFont="1"/>
    <xf numFmtId="43" fontId="30" fillId="0" borderId="0" xfId="1" applyFont="1"/>
    <xf numFmtId="43" fontId="31" fillId="0" borderId="0" xfId="0" applyNumberFormat="1" applyFont="1"/>
    <xf numFmtId="0" fontId="30" fillId="0" borderId="0" xfId="0" applyFont="1" applyAlignment="1">
      <alignment horizontal="center"/>
    </xf>
    <xf numFmtId="43" fontId="32" fillId="0" borderId="0" xfId="0" applyNumberFormat="1" applyFont="1"/>
    <xf numFmtId="43" fontId="30" fillId="0" borderId="0" xfId="0" applyNumberFormat="1" applyFont="1"/>
    <xf numFmtId="164" fontId="30" fillId="0" borderId="0" xfId="0" applyNumberFormat="1" applyFont="1" applyAlignment="1">
      <alignment horizontal="center"/>
    </xf>
    <xf numFmtId="0" fontId="33" fillId="0" borderId="0" xfId="0" applyFont="1"/>
    <xf numFmtId="43" fontId="33" fillId="0" borderId="0" xfId="0" applyNumberFormat="1" applyFont="1"/>
    <xf numFmtId="0" fontId="30" fillId="5" borderId="0" xfId="0" applyFont="1" applyFill="1"/>
    <xf numFmtId="43" fontId="30" fillId="5" borderId="0" xfId="0" applyNumberFormat="1" applyFont="1" applyFill="1"/>
    <xf numFmtId="0" fontId="34" fillId="0" borderId="0" xfId="0" applyFont="1"/>
    <xf numFmtId="43" fontId="34" fillId="0" borderId="0" xfId="0" applyNumberFormat="1" applyFont="1"/>
    <xf numFmtId="0" fontId="26" fillId="0" borderId="0" xfId="0" applyFont="1"/>
    <xf numFmtId="43" fontId="35" fillId="0" borderId="0" xfId="0" applyNumberFormat="1" applyFont="1"/>
    <xf numFmtId="0" fontId="35" fillId="0" borderId="0" xfId="0" applyFont="1"/>
    <xf numFmtId="0" fontId="36" fillId="2" borderId="0" xfId="0" applyFont="1" applyFill="1"/>
    <xf numFmtId="8" fontId="36" fillId="2" borderId="0" xfId="0" applyNumberFormat="1" applyFont="1" applyFill="1"/>
    <xf numFmtId="2" fontId="22" fillId="0" borderId="0" xfId="0" applyNumberFormat="1" applyFont="1"/>
    <xf numFmtId="10" fontId="36" fillId="2" borderId="0" xfId="2" applyNumberFormat="1" applyFont="1" applyFill="1"/>
    <xf numFmtId="43" fontId="36" fillId="2" borderId="0" xfId="1" applyFont="1" applyFill="1"/>
    <xf numFmtId="164" fontId="22" fillId="0" borderId="0" xfId="0" applyNumberFormat="1" applyFont="1"/>
    <xf numFmtId="43" fontId="37" fillId="0" borderId="0" xfId="1" applyFont="1"/>
    <xf numFmtId="43" fontId="37" fillId="0" borderId="0" xfId="0" applyNumberFormat="1" applyFont="1"/>
    <xf numFmtId="0" fontId="38" fillId="0" borderId="0" xfId="0" applyFont="1"/>
    <xf numFmtId="0" fontId="32" fillId="0" borderId="0" xfId="0" applyFont="1"/>
    <xf numFmtId="0" fontId="26" fillId="6" borderId="0" xfId="0" applyFont="1" applyFill="1"/>
    <xf numFmtId="0" fontId="25" fillId="5" borderId="0" xfId="0" applyFont="1" applyFill="1"/>
    <xf numFmtId="0" fontId="39" fillId="5" borderId="0" xfId="0" applyFont="1" applyFill="1"/>
    <xf numFmtId="43" fontId="40" fillId="0" borderId="0" xfId="1" applyFont="1"/>
    <xf numFmtId="0" fontId="25" fillId="0" borderId="0" xfId="0" applyFont="1" applyAlignment="1">
      <alignment horizontal="right"/>
    </xf>
    <xf numFmtId="43" fontId="26" fillId="0" borderId="0" xfId="0" applyNumberFormat="1" applyFont="1"/>
    <xf numFmtId="0" fontId="22" fillId="6" borderId="2" xfId="0" applyFont="1" applyFill="1" applyBorder="1"/>
    <xf numFmtId="0" fontId="23" fillId="6" borderId="2" xfId="3" applyFont="1" applyFill="1" applyBorder="1" applyAlignment="1" applyProtection="1">
      <alignment vertical="center"/>
      <protection locked="0"/>
    </xf>
    <xf numFmtId="0" fontId="22" fillId="6" borderId="3" xfId="0" applyFont="1" applyFill="1" applyBorder="1"/>
    <xf numFmtId="0" fontId="23" fillId="6" borderId="4" xfId="3" applyFont="1" applyFill="1" applyBorder="1" applyAlignment="1" applyProtection="1">
      <alignment vertical="center"/>
      <protection locked="0"/>
    </xf>
    <xf numFmtId="0" fontId="23" fillId="6" borderId="0" xfId="3" applyFont="1" applyFill="1" applyAlignment="1" applyProtection="1">
      <alignment vertical="center"/>
      <protection locked="0"/>
    </xf>
    <xf numFmtId="0" fontId="22" fillId="6" borderId="5" xfId="0" applyFont="1" applyFill="1" applyBorder="1"/>
    <xf numFmtId="37" fontId="23" fillId="6" borderId="0" xfId="3" applyNumberFormat="1" applyFont="1" applyFill="1" applyAlignment="1" applyProtection="1">
      <alignment vertical="center"/>
      <protection locked="0"/>
    </xf>
    <xf numFmtId="166" fontId="23" fillId="6" borderId="0" xfId="1" applyNumberFormat="1" applyFont="1" applyFill="1" applyBorder="1" applyAlignment="1" applyProtection="1">
      <alignment vertical="center"/>
      <protection locked="0"/>
    </xf>
    <xf numFmtId="0" fontId="23" fillId="6" borderId="7" xfId="3" applyFont="1" applyFill="1" applyBorder="1" applyAlignment="1" applyProtection="1">
      <alignment vertical="center"/>
      <protection locked="0"/>
    </xf>
    <xf numFmtId="0" fontId="22" fillId="6" borderId="7" xfId="0" applyFont="1" applyFill="1" applyBorder="1"/>
    <xf numFmtId="166" fontId="23" fillId="6" borderId="7" xfId="1" applyNumberFormat="1" applyFont="1" applyFill="1" applyBorder="1" applyAlignment="1" applyProtection="1">
      <alignment vertical="center"/>
      <protection locked="0"/>
    </xf>
    <xf numFmtId="0" fontId="22" fillId="6" borderId="8" xfId="0" applyFont="1" applyFill="1" applyBorder="1"/>
    <xf numFmtId="0" fontId="24" fillId="10" borderId="1" xfId="0" applyFont="1" applyFill="1" applyBorder="1" applyAlignment="1">
      <alignment horizontal="left"/>
    </xf>
    <xf numFmtId="43" fontId="22" fillId="10" borderId="2" xfId="0" applyNumberFormat="1" applyFont="1" applyFill="1" applyBorder="1"/>
    <xf numFmtId="0" fontId="22" fillId="10" borderId="2" xfId="0" applyFont="1" applyFill="1" applyBorder="1"/>
    <xf numFmtId="0" fontId="23" fillId="10" borderId="2" xfId="3" applyFont="1" applyFill="1" applyBorder="1" applyAlignment="1" applyProtection="1">
      <alignment vertical="center"/>
      <protection locked="0"/>
    </xf>
    <xf numFmtId="0" fontId="22" fillId="10" borderId="3" xfId="0" applyFont="1" applyFill="1" applyBorder="1"/>
    <xf numFmtId="0" fontId="23" fillId="10" borderId="4" xfId="3" applyFont="1" applyFill="1" applyBorder="1" applyAlignment="1" applyProtection="1">
      <alignment vertical="center"/>
      <protection locked="0"/>
    </xf>
    <xf numFmtId="165" fontId="23" fillId="10" borderId="0" xfId="4" applyNumberFormat="1" applyFont="1" applyFill="1" applyBorder="1" applyAlignment="1" applyProtection="1">
      <alignment vertical="center"/>
      <protection locked="0"/>
    </xf>
    <xf numFmtId="0" fontId="23" fillId="10" borderId="0" xfId="3" applyFont="1" applyFill="1" applyAlignment="1" applyProtection="1">
      <alignment vertical="center"/>
      <protection locked="0"/>
    </xf>
    <xf numFmtId="0" fontId="22" fillId="10" borderId="0" xfId="0" applyFont="1" applyFill="1"/>
    <xf numFmtId="0" fontId="22" fillId="10" borderId="5" xfId="0" applyFont="1" applyFill="1" applyBorder="1"/>
    <xf numFmtId="0" fontId="28" fillId="10" borderId="4" xfId="3" applyFont="1" applyFill="1" applyBorder="1" applyAlignment="1" applyProtection="1">
      <alignment vertical="center"/>
      <protection locked="0"/>
    </xf>
    <xf numFmtId="37" fontId="23" fillId="10" borderId="4" xfId="3" applyNumberFormat="1" applyFont="1" applyFill="1" applyBorder="1" applyAlignment="1" applyProtection="1">
      <alignment vertical="center"/>
      <protection locked="0"/>
    </xf>
    <xf numFmtId="37" fontId="23" fillId="10" borderId="0" xfId="3" applyNumberFormat="1" applyFont="1" applyFill="1" applyAlignment="1" applyProtection="1">
      <alignment vertical="center"/>
      <protection locked="0"/>
    </xf>
    <xf numFmtId="166" fontId="23" fillId="10" borderId="0" xfId="1" applyNumberFormat="1" applyFont="1" applyFill="1" applyBorder="1" applyAlignment="1" applyProtection="1">
      <alignment vertical="center"/>
      <protection locked="0"/>
    </xf>
    <xf numFmtId="0" fontId="24" fillId="10" borderId="6" xfId="0" applyFont="1" applyFill="1" applyBorder="1"/>
    <xf numFmtId="37" fontId="23" fillId="10" borderId="7" xfId="3" applyNumberFormat="1" applyFont="1" applyFill="1" applyBorder="1" applyAlignment="1" applyProtection="1">
      <alignment vertical="center"/>
      <protection locked="0"/>
    </xf>
    <xf numFmtId="0" fontId="23" fillId="10" borderId="7" xfId="3" applyFont="1" applyFill="1" applyBorder="1" applyAlignment="1" applyProtection="1">
      <alignment vertical="center"/>
      <protection locked="0"/>
    </xf>
    <xf numFmtId="0" fontId="22" fillId="10" borderId="7" xfId="0" applyFont="1" applyFill="1" applyBorder="1"/>
    <xf numFmtId="166" fontId="23" fillId="10" borderId="7" xfId="1" applyNumberFormat="1" applyFont="1" applyFill="1" applyBorder="1" applyAlignment="1" applyProtection="1">
      <alignment vertical="center"/>
      <protection locked="0"/>
    </xf>
    <xf numFmtId="0" fontId="22" fillId="10" borderId="8" xfId="0" applyFont="1" applyFill="1" applyBorder="1"/>
    <xf numFmtId="0" fontId="32" fillId="10" borderId="4" xfId="3" applyFont="1" applyFill="1" applyBorder="1" applyAlignment="1" applyProtection="1">
      <alignment vertical="center"/>
      <protection locked="0"/>
    </xf>
    <xf numFmtId="0" fontId="25" fillId="10" borderId="4" xfId="0" applyFont="1" applyFill="1" applyBorder="1"/>
    <xf numFmtId="0" fontId="23" fillId="6" borderId="1" xfId="3" applyFont="1" applyFill="1" applyBorder="1" applyAlignment="1" applyProtection="1">
      <alignment vertical="center"/>
      <protection locked="0"/>
    </xf>
    <xf numFmtId="37" fontId="23" fillId="6" borderId="2" xfId="3" applyNumberFormat="1" applyFont="1" applyFill="1" applyBorder="1" applyAlignment="1" applyProtection="1">
      <alignment vertical="center"/>
      <protection locked="0"/>
    </xf>
    <xf numFmtId="166" fontId="23" fillId="6" borderId="2" xfId="1" applyNumberFormat="1" applyFont="1" applyFill="1" applyBorder="1" applyAlignment="1" applyProtection="1">
      <alignment vertical="center"/>
      <protection locked="0"/>
    </xf>
    <xf numFmtId="9" fontId="23" fillId="6" borderId="0" xfId="2" applyFont="1" applyFill="1" applyBorder="1" applyAlignment="1" applyProtection="1">
      <alignment vertical="center"/>
      <protection locked="0"/>
    </xf>
    <xf numFmtId="37" fontId="23" fillId="6" borderId="6" xfId="3" applyNumberFormat="1" applyFont="1" applyFill="1" applyBorder="1" applyAlignment="1" applyProtection="1">
      <alignment vertical="center"/>
      <protection locked="0"/>
    </xf>
    <xf numFmtId="9" fontId="23" fillId="6" borderId="7" xfId="2" applyFont="1" applyFill="1" applyBorder="1" applyAlignment="1" applyProtection="1">
      <alignment vertical="center"/>
      <protection locked="0"/>
    </xf>
    <xf numFmtId="0" fontId="39" fillId="4" borderId="0" xfId="0" applyFont="1" applyFill="1"/>
    <xf numFmtId="0" fontId="22" fillId="4" borderId="0" xfId="0" applyFont="1" applyFill="1"/>
    <xf numFmtId="0" fontId="23" fillId="4" borderId="0" xfId="3" applyFont="1" applyFill="1" applyAlignment="1" applyProtection="1">
      <alignment vertical="center"/>
      <protection locked="0"/>
    </xf>
    <xf numFmtId="43" fontId="23" fillId="6" borderId="0" xfId="1" applyFont="1" applyFill="1" applyBorder="1" applyAlignment="1" applyProtection="1">
      <alignment vertical="center"/>
      <protection locked="0"/>
    </xf>
    <xf numFmtId="0" fontId="22" fillId="0" borderId="9" xfId="0" applyFont="1" applyBorder="1" applyAlignment="1">
      <alignment horizontal="center"/>
    </xf>
    <xf numFmtId="0" fontId="38" fillId="0" borderId="9" xfId="0" applyFont="1" applyBorder="1"/>
    <xf numFmtId="0" fontId="22" fillId="0" borderId="9" xfId="0" applyFont="1" applyBorder="1"/>
    <xf numFmtId="0" fontId="30" fillId="0" borderId="9" xfId="0" applyFont="1" applyBorder="1"/>
    <xf numFmtId="43" fontId="30" fillId="0" borderId="9" xfId="1" applyFont="1" applyBorder="1"/>
    <xf numFmtId="0" fontId="30" fillId="0" borderId="9" xfId="0" applyFont="1" applyBorder="1" applyAlignment="1">
      <alignment horizontal="center"/>
    </xf>
    <xf numFmtId="43" fontId="32" fillId="0" borderId="9" xfId="0" applyNumberFormat="1" applyFont="1" applyBorder="1"/>
    <xf numFmtId="43" fontId="30" fillId="0" borderId="9" xfId="0" applyNumberFormat="1" applyFont="1" applyBorder="1"/>
    <xf numFmtId="0" fontId="32" fillId="0" borderId="9" xfId="0" applyFont="1" applyBorder="1"/>
    <xf numFmtId="43" fontId="40" fillId="0" borderId="9" xfId="1" applyFont="1" applyBorder="1"/>
    <xf numFmtId="164" fontId="30" fillId="0" borderId="9" xfId="0" applyNumberFormat="1" applyFont="1" applyBorder="1" applyAlignment="1">
      <alignment horizontal="center"/>
    </xf>
    <xf numFmtId="0" fontId="33" fillId="0" borderId="9" xfId="0" applyFont="1" applyBorder="1"/>
    <xf numFmtId="43" fontId="33" fillId="0" borderId="9" xfId="0" applyNumberFormat="1" applyFont="1" applyBorder="1"/>
    <xf numFmtId="0" fontId="30" fillId="5" borderId="9" xfId="0" applyFont="1" applyFill="1" applyBorder="1"/>
    <xf numFmtId="43" fontId="41" fillId="5" borderId="9" xfId="0" applyNumberFormat="1" applyFont="1" applyFill="1" applyBorder="1"/>
    <xf numFmtId="43" fontId="30" fillId="5" borderId="9" xfId="0" applyNumberFormat="1" applyFont="1" applyFill="1" applyBorder="1"/>
  </cellXfs>
  <cellStyles count="5">
    <cellStyle name="Normal_ch19" xfId="3" xr:uid="{00000000-0005-0000-0000-000002000000}"/>
    <cellStyle name="เครื่องหมายจุลภาค_EXCEL7" xfId="4" xr:uid="{00000000-0005-0000-0000-000004000000}"/>
    <cellStyle name="เปอร์เซ็นต์" xfId="2" builtinId="5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66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W67"/>
  <sheetViews>
    <sheetView tabSelected="1" topLeftCell="A34" zoomScale="99" zoomScaleNormal="99" workbookViewId="0">
      <selection activeCell="C41" sqref="C41"/>
    </sheetView>
  </sheetViews>
  <sheetFormatPr defaultColWidth="8.85546875" defaultRowHeight="23.25" x14ac:dyDescent="0.5"/>
  <cols>
    <col min="1" max="1" width="53.7109375" style="46" bestFit="1" customWidth="1"/>
    <col min="2" max="2" width="15.7109375" style="46" customWidth="1"/>
    <col min="3" max="3" width="14.7109375" style="46" customWidth="1"/>
    <col min="4" max="4" width="14.5703125" style="46" customWidth="1"/>
    <col min="5" max="5" width="14.7109375" style="46" customWidth="1"/>
    <col min="6" max="19" width="14.85546875" style="46" bestFit="1" customWidth="1"/>
    <col min="20" max="22" width="14" style="46" customWidth="1"/>
    <col min="23" max="23" width="15.7109375" style="46" customWidth="1"/>
    <col min="24" max="16384" width="8.85546875" style="46"/>
  </cols>
  <sheetData>
    <row r="1" spans="1:7" x14ac:dyDescent="0.5">
      <c r="A1" s="99" t="s">
        <v>95</v>
      </c>
      <c r="B1" s="45"/>
      <c r="D1" s="100" t="s">
        <v>25</v>
      </c>
      <c r="E1" s="64"/>
    </row>
    <row r="2" spans="1:7" x14ac:dyDescent="0.5">
      <c r="A2" s="48" t="s">
        <v>92</v>
      </c>
      <c r="B2" s="45" t="s">
        <v>93</v>
      </c>
      <c r="D2" s="66" t="s">
        <v>97</v>
      </c>
      <c r="E2" s="66"/>
      <c r="F2" s="66"/>
      <c r="G2" s="66"/>
    </row>
    <row r="3" spans="1:7" x14ac:dyDescent="0.5">
      <c r="A3" s="48" t="s">
        <v>81</v>
      </c>
      <c r="B3" s="49">
        <v>604.44000000000005</v>
      </c>
      <c r="D3" s="67" t="s">
        <v>98</v>
      </c>
      <c r="E3" s="66"/>
      <c r="F3" s="66"/>
      <c r="G3" s="66"/>
    </row>
    <row r="4" spans="1:7" x14ac:dyDescent="0.5">
      <c r="A4" s="48" t="s">
        <v>82</v>
      </c>
      <c r="B4" s="49">
        <v>459.54</v>
      </c>
      <c r="D4" s="67" t="s">
        <v>81</v>
      </c>
      <c r="E4" s="66"/>
      <c r="F4" s="66"/>
      <c r="G4" s="68">
        <v>20358669.5</v>
      </c>
    </row>
    <row r="5" spans="1:7" x14ac:dyDescent="0.5">
      <c r="A5" s="48" t="s">
        <v>83</v>
      </c>
      <c r="B5" s="49">
        <v>341.55</v>
      </c>
      <c r="D5" s="67" t="s">
        <v>82</v>
      </c>
      <c r="E5" s="66"/>
      <c r="F5" s="66"/>
      <c r="G5" s="68">
        <v>12814707</v>
      </c>
    </row>
    <row r="6" spans="1:7" x14ac:dyDescent="0.5">
      <c r="A6" s="48" t="s">
        <v>84</v>
      </c>
      <c r="B6" s="49">
        <v>408.48</v>
      </c>
      <c r="D6" s="67" t="s">
        <v>83</v>
      </c>
      <c r="E6" s="66"/>
      <c r="F6" s="66"/>
      <c r="G6" s="68">
        <v>10038585</v>
      </c>
    </row>
    <row r="7" spans="1:7" x14ac:dyDescent="0.5">
      <c r="A7" s="48" t="s">
        <v>85</v>
      </c>
      <c r="B7" s="49">
        <v>110.4</v>
      </c>
      <c r="D7" s="67" t="s">
        <v>84</v>
      </c>
      <c r="E7" s="66"/>
      <c r="F7" s="66"/>
      <c r="G7" s="68">
        <v>12863054</v>
      </c>
    </row>
    <row r="8" spans="1:7" x14ac:dyDescent="0.5">
      <c r="A8" s="48" t="s">
        <v>86</v>
      </c>
      <c r="B8" s="49">
        <v>408.48</v>
      </c>
      <c r="D8" s="67" t="s">
        <v>85</v>
      </c>
      <c r="E8" s="66"/>
      <c r="F8" s="66"/>
      <c r="G8" s="68">
        <v>2838910</v>
      </c>
    </row>
    <row r="9" spans="1:7" x14ac:dyDescent="0.5">
      <c r="A9" s="48" t="s">
        <v>87</v>
      </c>
      <c r="B9" s="49">
        <v>139.38</v>
      </c>
      <c r="D9" s="67" t="s">
        <v>86</v>
      </c>
      <c r="E9" s="66"/>
      <c r="F9" s="66"/>
      <c r="G9" s="68">
        <v>12863054</v>
      </c>
    </row>
    <row r="10" spans="1:7" x14ac:dyDescent="0.5">
      <c r="A10" s="48" t="s">
        <v>88</v>
      </c>
      <c r="B10" s="49">
        <v>350.52</v>
      </c>
      <c r="D10" s="67" t="s">
        <v>87</v>
      </c>
      <c r="E10" s="66"/>
      <c r="F10" s="66"/>
      <c r="G10" s="68">
        <v>3368224</v>
      </c>
    </row>
    <row r="11" spans="1:7" x14ac:dyDescent="0.5">
      <c r="A11" s="48" t="s">
        <v>89</v>
      </c>
      <c r="B11" s="49">
        <v>999.8</v>
      </c>
      <c r="D11" s="67" t="s">
        <v>88</v>
      </c>
      <c r="E11" s="66"/>
      <c r="F11" s="66"/>
      <c r="G11" s="68">
        <v>10695206</v>
      </c>
    </row>
    <row r="12" spans="1:7" x14ac:dyDescent="0.5">
      <c r="A12" s="48" t="s">
        <v>90</v>
      </c>
      <c r="B12" s="49">
        <v>149.04</v>
      </c>
      <c r="D12" s="67" t="s">
        <v>89</v>
      </c>
      <c r="E12" s="66"/>
      <c r="F12" s="66"/>
      <c r="G12" s="68">
        <v>27167510</v>
      </c>
    </row>
    <row r="13" spans="1:7" x14ac:dyDescent="0.5">
      <c r="A13" s="48" t="s">
        <v>91</v>
      </c>
      <c r="B13" s="49">
        <v>536.05999999999995</v>
      </c>
      <c r="D13" s="67" t="s">
        <v>90</v>
      </c>
      <c r="E13" s="66"/>
      <c r="F13" s="66"/>
      <c r="G13" s="68">
        <v>3087232</v>
      </c>
    </row>
    <row r="14" spans="1:7" x14ac:dyDescent="0.5">
      <c r="A14" s="50" t="s">
        <v>94</v>
      </c>
      <c r="B14" s="51">
        <f>SUM(B3:B13)</f>
        <v>4507.6900000000005</v>
      </c>
      <c r="D14" s="67" t="s">
        <v>91</v>
      </c>
      <c r="E14" s="66"/>
      <c r="F14" s="66"/>
      <c r="G14" s="68">
        <v>14259678</v>
      </c>
    </row>
    <row r="15" spans="1:7" x14ac:dyDescent="0.5">
      <c r="A15" s="52"/>
      <c r="B15" s="53"/>
      <c r="F15" s="69" t="s">
        <v>94</v>
      </c>
      <c r="G15" s="70">
        <f>SUM(G4:G14)</f>
        <v>130354829.5</v>
      </c>
    </row>
    <row r="16" spans="1:7" x14ac:dyDescent="0.5">
      <c r="A16" s="52"/>
      <c r="B16" s="53"/>
      <c r="F16" s="103"/>
      <c r="G16" s="104"/>
    </row>
    <row r="17" spans="1:22" ht="27" thickBot="1" x14ac:dyDescent="0.6">
      <c r="A17" s="101" t="s">
        <v>26</v>
      </c>
      <c r="B17" s="54"/>
      <c r="C17" s="54"/>
      <c r="D17" s="55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</row>
    <row r="18" spans="1:22" ht="16.149999999999999" customHeight="1" x14ac:dyDescent="0.5">
      <c r="A18" s="117"/>
      <c r="B18" s="118"/>
      <c r="C18" s="119"/>
      <c r="D18" s="120"/>
      <c r="E18" s="119"/>
      <c r="F18" s="119"/>
      <c r="G18" s="121"/>
    </row>
    <row r="19" spans="1:22" x14ac:dyDescent="0.5">
      <c r="A19" s="127" t="s">
        <v>106</v>
      </c>
      <c r="B19" s="123"/>
      <c r="C19" s="124"/>
      <c r="D19" s="124"/>
      <c r="E19" s="125"/>
      <c r="F19" s="125"/>
      <c r="G19" s="126"/>
    </row>
    <row r="20" spans="1:22" x14ac:dyDescent="0.5">
      <c r="A20" s="137" t="s">
        <v>114</v>
      </c>
      <c r="B20" s="123"/>
      <c r="C20" s="124"/>
      <c r="D20" s="124"/>
      <c r="E20" s="125"/>
      <c r="F20" s="125"/>
      <c r="G20" s="126"/>
    </row>
    <row r="21" spans="1:22" x14ac:dyDescent="0.5">
      <c r="A21" s="122" t="s">
        <v>108</v>
      </c>
      <c r="B21" s="123">
        <f>B14*5</f>
        <v>22538.450000000004</v>
      </c>
      <c r="C21" s="124" t="s">
        <v>111</v>
      </c>
      <c r="D21" s="124"/>
      <c r="E21" s="125"/>
      <c r="F21" s="130"/>
      <c r="G21" s="126"/>
    </row>
    <row r="22" spans="1:22" x14ac:dyDescent="0.5">
      <c r="A22" s="128" t="s">
        <v>44</v>
      </c>
      <c r="B22" s="129">
        <v>246</v>
      </c>
      <c r="C22" s="124" t="s">
        <v>0</v>
      </c>
      <c r="D22" s="124" t="s">
        <v>1</v>
      </c>
      <c r="E22" s="125"/>
      <c r="F22" s="130">
        <f>3.3471*1.07</f>
        <v>3.5813970000000004</v>
      </c>
      <c r="G22" s="126" t="s">
        <v>33</v>
      </c>
    </row>
    <row r="23" spans="1:22" x14ac:dyDescent="0.5">
      <c r="A23" s="137" t="s">
        <v>105</v>
      </c>
      <c r="B23" s="129"/>
      <c r="C23" s="124"/>
      <c r="D23" s="124"/>
      <c r="E23" s="125"/>
      <c r="F23" s="125"/>
      <c r="G23" s="126"/>
    </row>
    <row r="24" spans="1:22" x14ac:dyDescent="0.5">
      <c r="A24" s="122" t="s">
        <v>109</v>
      </c>
      <c r="B24" s="123">
        <f>3000*5</f>
        <v>15000</v>
      </c>
      <c r="C24" s="124" t="s">
        <v>110</v>
      </c>
      <c r="D24" s="124"/>
      <c r="E24" s="125"/>
      <c r="F24" s="130"/>
      <c r="G24" s="126"/>
    </row>
    <row r="25" spans="1:22" x14ac:dyDescent="0.5">
      <c r="A25" s="128" t="s">
        <v>44</v>
      </c>
      <c r="B25" s="129">
        <v>119</v>
      </c>
      <c r="C25" s="124" t="s">
        <v>0</v>
      </c>
      <c r="D25" s="124" t="s">
        <v>1</v>
      </c>
      <c r="E25" s="125"/>
      <c r="F25" s="130">
        <v>3.5813999999999999</v>
      </c>
      <c r="G25" s="126" t="s">
        <v>33</v>
      </c>
    </row>
    <row r="26" spans="1:22" ht="31.9" customHeight="1" x14ac:dyDescent="0.5">
      <c r="A26" s="138" t="s">
        <v>107</v>
      </c>
      <c r="B26" s="129">
        <v>130000000</v>
      </c>
      <c r="C26" s="124" t="s">
        <v>33</v>
      </c>
      <c r="D26" s="124"/>
      <c r="E26" s="125"/>
      <c r="F26" s="130"/>
      <c r="G26" s="126"/>
    </row>
    <row r="27" spans="1:22" ht="12" customHeight="1" thickBot="1" x14ac:dyDescent="0.55000000000000004">
      <c r="A27" s="131"/>
      <c r="B27" s="132"/>
      <c r="C27" s="133"/>
      <c r="D27" s="133"/>
      <c r="E27" s="134"/>
      <c r="F27" s="135"/>
      <c r="G27" s="136"/>
    </row>
    <row r="28" spans="1:22" ht="12" customHeight="1" x14ac:dyDescent="0.5">
      <c r="A28" s="62"/>
      <c r="B28" s="60"/>
      <c r="C28" s="47"/>
      <c r="D28" s="47"/>
      <c r="F28" s="63"/>
    </row>
    <row r="29" spans="1:22" s="146" customFormat="1" ht="27" thickBot="1" x14ac:dyDescent="0.6">
      <c r="A29" s="145" t="s">
        <v>25</v>
      </c>
      <c r="D29" s="147"/>
    </row>
    <row r="30" spans="1:22" ht="26.45" customHeight="1" x14ac:dyDescent="0.5">
      <c r="A30" s="139" t="s">
        <v>99</v>
      </c>
      <c r="B30" s="140">
        <v>130000000</v>
      </c>
      <c r="C30" s="106" t="s">
        <v>33</v>
      </c>
      <c r="D30" s="106"/>
      <c r="E30" s="105"/>
      <c r="F30" s="141"/>
      <c r="G30" s="107"/>
    </row>
    <row r="31" spans="1:22" ht="26.45" customHeight="1" x14ac:dyDescent="0.5">
      <c r="A31" s="108" t="s">
        <v>39</v>
      </c>
      <c r="B31" s="111">
        <v>20000000</v>
      </c>
      <c r="C31" s="109" t="s">
        <v>33</v>
      </c>
      <c r="D31" s="109"/>
      <c r="E31" s="45"/>
      <c r="F31" s="112"/>
      <c r="G31" s="110"/>
    </row>
    <row r="32" spans="1:22" ht="22.9" customHeight="1" x14ac:dyDescent="0.5">
      <c r="A32" s="108" t="s">
        <v>57</v>
      </c>
      <c r="B32" s="111">
        <v>300000</v>
      </c>
      <c r="C32" s="109" t="s">
        <v>45</v>
      </c>
      <c r="D32" s="109"/>
      <c r="E32" s="45"/>
      <c r="F32" s="112"/>
      <c r="G32" s="110"/>
    </row>
    <row r="33" spans="1:23" ht="21" customHeight="1" x14ac:dyDescent="0.5">
      <c r="A33" s="108" t="s">
        <v>112</v>
      </c>
      <c r="B33" s="142">
        <v>0.03</v>
      </c>
      <c r="C33" s="109" t="s">
        <v>113</v>
      </c>
      <c r="D33" s="109"/>
      <c r="E33" s="45"/>
      <c r="F33" s="112"/>
      <c r="G33" s="110"/>
    </row>
    <row r="34" spans="1:23" ht="21" customHeight="1" x14ac:dyDescent="0.5">
      <c r="A34" s="108" t="s">
        <v>48</v>
      </c>
      <c r="B34" s="148">
        <f>B45*1%</f>
        <v>1300000</v>
      </c>
      <c r="C34" s="109" t="s">
        <v>47</v>
      </c>
      <c r="D34" s="109"/>
      <c r="E34" s="45"/>
      <c r="F34" s="112"/>
      <c r="G34" s="110"/>
    </row>
    <row r="35" spans="1:23" ht="21" customHeight="1" x14ac:dyDescent="0.5">
      <c r="A35" s="108" t="s">
        <v>112</v>
      </c>
      <c r="B35" s="142">
        <v>0.01</v>
      </c>
      <c r="C35" s="109" t="s">
        <v>113</v>
      </c>
      <c r="D35" s="109"/>
      <c r="E35" s="45"/>
      <c r="F35" s="112"/>
      <c r="G35" s="110"/>
    </row>
    <row r="36" spans="1:23" ht="24" thickBot="1" x14ac:dyDescent="0.55000000000000004">
      <c r="A36" s="143" t="s">
        <v>49</v>
      </c>
      <c r="B36" s="144">
        <v>0.2</v>
      </c>
      <c r="C36" s="113" t="s">
        <v>50</v>
      </c>
      <c r="D36" s="113"/>
      <c r="E36" s="114"/>
      <c r="F36" s="115"/>
      <c r="G36" s="116"/>
    </row>
    <row r="37" spans="1:23" x14ac:dyDescent="0.5">
      <c r="A37" s="60"/>
      <c r="B37" s="71"/>
      <c r="C37" s="47"/>
      <c r="D37" s="47"/>
      <c r="F37" s="63"/>
    </row>
    <row r="39" spans="1:23" s="72" customFormat="1" x14ac:dyDescent="0.5">
      <c r="A39" s="149" t="s">
        <v>3</v>
      </c>
      <c r="B39" s="149" t="s">
        <v>4</v>
      </c>
      <c r="C39" s="149" t="s">
        <v>5</v>
      </c>
      <c r="D39" s="149" t="s">
        <v>6</v>
      </c>
      <c r="E39" s="149" t="s">
        <v>7</v>
      </c>
      <c r="F39" s="149" t="s">
        <v>8</v>
      </c>
      <c r="G39" s="149" t="s">
        <v>9</v>
      </c>
      <c r="H39" s="149" t="s">
        <v>10</v>
      </c>
      <c r="I39" s="149" t="s">
        <v>11</v>
      </c>
      <c r="J39" s="149" t="s">
        <v>12</v>
      </c>
      <c r="K39" s="149" t="s">
        <v>13</v>
      </c>
      <c r="L39" s="149" t="s">
        <v>14</v>
      </c>
      <c r="M39" s="149" t="s">
        <v>15</v>
      </c>
      <c r="N39" s="149" t="s">
        <v>16</v>
      </c>
      <c r="O39" s="149" t="s">
        <v>17</v>
      </c>
      <c r="P39" s="149" t="s">
        <v>18</v>
      </c>
      <c r="Q39" s="149" t="s">
        <v>19</v>
      </c>
      <c r="R39" s="149" t="s">
        <v>20</v>
      </c>
      <c r="S39" s="149" t="s">
        <v>21</v>
      </c>
      <c r="T39" s="149" t="s">
        <v>22</v>
      </c>
      <c r="U39" s="149" t="s">
        <v>23</v>
      </c>
      <c r="V39" s="149" t="s">
        <v>24</v>
      </c>
    </row>
    <row r="40" spans="1:23" x14ac:dyDescent="0.5">
      <c r="A40" s="150" t="s">
        <v>26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</row>
    <row r="41" spans="1:23" x14ac:dyDescent="0.5">
      <c r="A41" s="152" t="s">
        <v>54</v>
      </c>
      <c r="B41" s="153">
        <v>0</v>
      </c>
      <c r="C41" s="153">
        <f>($B$21*$B$22*$F$22)+($B$24*$B$25*$F$25)</f>
        <v>26249706.754803907</v>
      </c>
      <c r="D41" s="153">
        <f t="shared" ref="D41:V41" si="0">($B$21*$B$22*$F$22)+($B$24*$B$25*$F$25)</f>
        <v>26249706.754803907</v>
      </c>
      <c r="E41" s="153">
        <f t="shared" si="0"/>
        <v>26249706.754803907</v>
      </c>
      <c r="F41" s="153">
        <f t="shared" si="0"/>
        <v>26249706.754803907</v>
      </c>
      <c r="G41" s="153">
        <f t="shared" si="0"/>
        <v>26249706.754803907</v>
      </c>
      <c r="H41" s="153">
        <f t="shared" si="0"/>
        <v>26249706.754803907</v>
      </c>
      <c r="I41" s="153">
        <f t="shared" si="0"/>
        <v>26249706.754803907</v>
      </c>
      <c r="J41" s="153">
        <f t="shared" si="0"/>
        <v>26249706.754803907</v>
      </c>
      <c r="K41" s="153">
        <f t="shared" si="0"/>
        <v>26249706.754803907</v>
      </c>
      <c r="L41" s="153">
        <f t="shared" si="0"/>
        <v>26249706.754803907</v>
      </c>
      <c r="M41" s="153">
        <f t="shared" si="0"/>
        <v>26249706.754803907</v>
      </c>
      <c r="N41" s="153">
        <f t="shared" si="0"/>
        <v>26249706.754803907</v>
      </c>
      <c r="O41" s="153">
        <f t="shared" si="0"/>
        <v>26249706.754803907</v>
      </c>
      <c r="P41" s="153">
        <f t="shared" si="0"/>
        <v>26249706.754803907</v>
      </c>
      <c r="Q41" s="153">
        <f t="shared" si="0"/>
        <v>26249706.754803907</v>
      </c>
      <c r="R41" s="153">
        <f t="shared" si="0"/>
        <v>26249706.754803907</v>
      </c>
      <c r="S41" s="153">
        <f t="shared" si="0"/>
        <v>26249706.754803907</v>
      </c>
      <c r="T41" s="153">
        <f t="shared" si="0"/>
        <v>26249706.754803907</v>
      </c>
      <c r="U41" s="153">
        <f t="shared" si="0"/>
        <v>26249706.754803907</v>
      </c>
      <c r="V41" s="153">
        <f t="shared" si="0"/>
        <v>26249706.754803907</v>
      </c>
      <c r="W41" s="75">
        <f>SUM(B41:V41)</f>
        <v>524994135.09607798</v>
      </c>
    </row>
    <row r="42" spans="1:23" s="72" customFormat="1" x14ac:dyDescent="0.5">
      <c r="A42" s="152" t="s">
        <v>29</v>
      </c>
      <c r="B42" s="153">
        <v>130000000</v>
      </c>
      <c r="C42" s="154">
        <v>0</v>
      </c>
      <c r="D42" s="154">
        <v>0</v>
      </c>
      <c r="E42" s="154">
        <v>0</v>
      </c>
      <c r="F42" s="154">
        <v>0</v>
      </c>
      <c r="G42" s="154">
        <v>0</v>
      </c>
      <c r="H42" s="154">
        <v>0</v>
      </c>
      <c r="I42" s="154">
        <v>0</v>
      </c>
      <c r="J42" s="154">
        <v>0</v>
      </c>
      <c r="K42" s="154">
        <v>0</v>
      </c>
      <c r="L42" s="154">
        <v>0</v>
      </c>
      <c r="M42" s="154">
        <v>0</v>
      </c>
      <c r="N42" s="154">
        <v>0</v>
      </c>
      <c r="O42" s="154">
        <v>0</v>
      </c>
      <c r="P42" s="154">
        <v>0</v>
      </c>
      <c r="Q42" s="154">
        <v>0</v>
      </c>
      <c r="R42" s="154">
        <v>0</v>
      </c>
      <c r="S42" s="154">
        <v>0</v>
      </c>
      <c r="T42" s="154">
        <v>0</v>
      </c>
      <c r="U42" s="154">
        <v>0</v>
      </c>
      <c r="V42" s="154">
        <v>0</v>
      </c>
      <c r="W42" s="75">
        <f t="shared" ref="W42:W44" si="1">SUM(B42:V42)</f>
        <v>130000000</v>
      </c>
    </row>
    <row r="43" spans="1:23" s="72" customFormat="1" ht="8.4499999999999993" customHeight="1" x14ac:dyDescent="0.5">
      <c r="A43" s="152"/>
      <c r="B43" s="153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75"/>
    </row>
    <row r="44" spans="1:23" x14ac:dyDescent="0.5">
      <c r="A44" s="150" t="s">
        <v>25</v>
      </c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75">
        <f t="shared" si="1"/>
        <v>0</v>
      </c>
    </row>
    <row r="45" spans="1:23" s="73" customFormat="1" x14ac:dyDescent="0.5">
      <c r="A45" s="152" t="s">
        <v>51</v>
      </c>
      <c r="B45" s="155">
        <f>B42</f>
        <v>130000000</v>
      </c>
      <c r="C45" s="154">
        <v>0</v>
      </c>
      <c r="D45" s="154">
        <v>0</v>
      </c>
      <c r="E45" s="154">
        <v>0</v>
      </c>
      <c r="F45" s="154">
        <v>0</v>
      </c>
      <c r="G45" s="154">
        <v>0</v>
      </c>
      <c r="H45" s="154">
        <v>0</v>
      </c>
      <c r="I45" s="154">
        <v>0</v>
      </c>
      <c r="J45" s="154">
        <v>0</v>
      </c>
      <c r="K45" s="154">
        <v>0</v>
      </c>
      <c r="L45" s="154">
        <v>0</v>
      </c>
      <c r="M45" s="154">
        <v>0</v>
      </c>
      <c r="N45" s="154">
        <v>0</v>
      </c>
      <c r="O45" s="154">
        <v>0</v>
      </c>
      <c r="P45" s="154">
        <v>0</v>
      </c>
      <c r="Q45" s="154">
        <v>0</v>
      </c>
      <c r="R45" s="154">
        <v>0</v>
      </c>
      <c r="S45" s="154">
        <v>0</v>
      </c>
      <c r="T45" s="154">
        <v>0</v>
      </c>
      <c r="U45" s="154">
        <v>0</v>
      </c>
      <c r="V45" s="154">
        <v>0</v>
      </c>
      <c r="W45" s="75">
        <f>SUM(C45:V45)</f>
        <v>0</v>
      </c>
    </row>
    <row r="46" spans="1:23" s="73" customFormat="1" x14ac:dyDescent="0.5">
      <c r="A46" s="152" t="s">
        <v>101</v>
      </c>
      <c r="B46" s="155">
        <v>20000000</v>
      </c>
      <c r="C46" s="154">
        <v>0</v>
      </c>
      <c r="D46" s="154">
        <v>0</v>
      </c>
      <c r="E46" s="154">
        <v>0</v>
      </c>
      <c r="F46" s="154">
        <v>0</v>
      </c>
      <c r="G46" s="154">
        <v>0</v>
      </c>
      <c r="H46" s="154">
        <v>0</v>
      </c>
      <c r="I46" s="154">
        <v>0</v>
      </c>
      <c r="J46" s="154">
        <v>0</v>
      </c>
      <c r="K46" s="154">
        <v>0</v>
      </c>
      <c r="L46" s="154">
        <v>0</v>
      </c>
      <c r="M46" s="154">
        <v>0</v>
      </c>
      <c r="N46" s="154">
        <v>0</v>
      </c>
      <c r="O46" s="154">
        <v>0</v>
      </c>
      <c r="P46" s="154">
        <v>0</v>
      </c>
      <c r="Q46" s="154">
        <v>0</v>
      </c>
      <c r="R46" s="154">
        <v>0</v>
      </c>
      <c r="S46" s="154">
        <v>0</v>
      </c>
      <c r="T46" s="154">
        <v>0</v>
      </c>
      <c r="U46" s="154">
        <v>0</v>
      </c>
      <c r="V46" s="154">
        <v>0</v>
      </c>
      <c r="W46" s="75">
        <f>SUM(B46:V46)</f>
        <v>20000000</v>
      </c>
    </row>
    <row r="47" spans="1:23" s="73" customFormat="1" x14ac:dyDescent="0.5">
      <c r="A47" s="152" t="s">
        <v>55</v>
      </c>
      <c r="B47" s="156">
        <f>300000*12</f>
        <v>3600000</v>
      </c>
      <c r="C47" s="156">
        <f>300000*12</f>
        <v>3600000</v>
      </c>
      <c r="D47" s="156">
        <f>C47*1.03</f>
        <v>3708000</v>
      </c>
      <c r="E47" s="156">
        <f>D47*1.03</f>
        <v>3819240</v>
      </c>
      <c r="F47" s="156">
        <f t="shared" ref="F47:V47" si="2">E47*1.03</f>
        <v>3933817.2</v>
      </c>
      <c r="G47" s="156">
        <f t="shared" si="2"/>
        <v>4051831.7160000005</v>
      </c>
      <c r="H47" s="156">
        <f t="shared" si="2"/>
        <v>4173386.6674800008</v>
      </c>
      <c r="I47" s="156">
        <f t="shared" si="2"/>
        <v>4298588.2675044006</v>
      </c>
      <c r="J47" s="156">
        <f t="shared" si="2"/>
        <v>4427545.9155295324</v>
      </c>
      <c r="K47" s="156">
        <f t="shared" si="2"/>
        <v>4560372.2929954184</v>
      </c>
      <c r="L47" s="156">
        <f t="shared" si="2"/>
        <v>4697183.4617852811</v>
      </c>
      <c r="M47" s="156">
        <f t="shared" si="2"/>
        <v>4838098.9656388396</v>
      </c>
      <c r="N47" s="156">
        <f t="shared" si="2"/>
        <v>4983241.934608005</v>
      </c>
      <c r="O47" s="156">
        <f t="shared" si="2"/>
        <v>5132739.1926462455</v>
      </c>
      <c r="P47" s="156">
        <f t="shared" si="2"/>
        <v>5286721.3684256328</v>
      </c>
      <c r="Q47" s="156">
        <f t="shared" si="2"/>
        <v>5445323.0094784023</v>
      </c>
      <c r="R47" s="156">
        <f t="shared" si="2"/>
        <v>5608682.6997627541</v>
      </c>
      <c r="S47" s="156">
        <f t="shared" si="2"/>
        <v>5776943.1807556367</v>
      </c>
      <c r="T47" s="156">
        <f t="shared" si="2"/>
        <v>5950251.4761783062</v>
      </c>
      <c r="U47" s="156">
        <f t="shared" si="2"/>
        <v>6128759.0204636557</v>
      </c>
      <c r="V47" s="156">
        <f t="shared" si="2"/>
        <v>6312621.7910775654</v>
      </c>
      <c r="W47" s="75">
        <f>SUM(C47:V47)</f>
        <v>96733348.16032967</v>
      </c>
    </row>
    <row r="48" spans="1:23" s="98" customFormat="1" x14ac:dyDescent="0.5">
      <c r="A48" s="157" t="s">
        <v>53</v>
      </c>
      <c r="B48" s="158">
        <v>-130000000</v>
      </c>
      <c r="C48" s="155">
        <f>C41*0.8</f>
        <v>20999765.403843127</v>
      </c>
      <c r="D48" s="155">
        <f t="shared" ref="D48:G48" si="3">D41*0.8</f>
        <v>20999765.403843127</v>
      </c>
      <c r="E48" s="155">
        <f t="shared" si="3"/>
        <v>20999765.403843127</v>
      </c>
      <c r="F48" s="155">
        <f t="shared" si="3"/>
        <v>20999765.403843127</v>
      </c>
      <c r="G48" s="155">
        <f t="shared" si="3"/>
        <v>20999765.403843127</v>
      </c>
      <c r="H48" s="155">
        <f>(H41*0.8*4/12)+(H41*0.5*8/12)</f>
        <v>15749824.052882345</v>
      </c>
      <c r="I48" s="155">
        <f>I41*0.5</f>
        <v>13124853.377401954</v>
      </c>
      <c r="J48" s="155">
        <f t="shared" ref="J48:V48" si="4">J41*0.5</f>
        <v>13124853.377401954</v>
      </c>
      <c r="K48" s="155">
        <f t="shared" si="4"/>
        <v>13124853.377401954</v>
      </c>
      <c r="L48" s="155">
        <f t="shared" si="4"/>
        <v>13124853.377401954</v>
      </c>
      <c r="M48" s="155">
        <f t="shared" si="4"/>
        <v>13124853.377401954</v>
      </c>
      <c r="N48" s="155">
        <f t="shared" si="4"/>
        <v>13124853.377401954</v>
      </c>
      <c r="O48" s="155">
        <f t="shared" si="4"/>
        <v>13124853.377401954</v>
      </c>
      <c r="P48" s="155">
        <f t="shared" si="4"/>
        <v>13124853.377401954</v>
      </c>
      <c r="Q48" s="155">
        <f t="shared" si="4"/>
        <v>13124853.377401954</v>
      </c>
      <c r="R48" s="155">
        <f t="shared" si="4"/>
        <v>13124853.377401954</v>
      </c>
      <c r="S48" s="155">
        <f t="shared" si="4"/>
        <v>13124853.377401954</v>
      </c>
      <c r="T48" s="155">
        <f t="shared" si="4"/>
        <v>13124853.377401954</v>
      </c>
      <c r="U48" s="155">
        <f t="shared" si="4"/>
        <v>13124853.377401954</v>
      </c>
      <c r="V48" s="155">
        <f t="shared" si="4"/>
        <v>13124853.377401954</v>
      </c>
      <c r="W48" s="75">
        <f>SUM(B48:V48)</f>
        <v>174496598.35572532</v>
      </c>
    </row>
    <row r="49" spans="1:23" s="73" customFormat="1" x14ac:dyDescent="0.5">
      <c r="A49" s="152" t="s">
        <v>102</v>
      </c>
      <c r="B49" s="155">
        <v>0</v>
      </c>
      <c r="C49" s="154">
        <v>0</v>
      </c>
      <c r="D49" s="154">
        <v>0</v>
      </c>
      <c r="E49" s="159">
        <f>B34</f>
        <v>1300000</v>
      </c>
      <c r="F49" s="159">
        <f>E49*1.01</f>
        <v>1313000</v>
      </c>
      <c r="G49" s="159">
        <f t="shared" ref="G49:V49" si="5">F49*1.01</f>
        <v>1326130</v>
      </c>
      <c r="H49" s="159">
        <f t="shared" si="5"/>
        <v>1339391.3</v>
      </c>
      <c r="I49" s="159">
        <f t="shared" si="5"/>
        <v>1352785.213</v>
      </c>
      <c r="J49" s="159">
        <f t="shared" si="5"/>
        <v>1366313.06513</v>
      </c>
      <c r="K49" s="159">
        <f t="shared" si="5"/>
        <v>1379976.1957813001</v>
      </c>
      <c r="L49" s="159">
        <f t="shared" si="5"/>
        <v>1393775.9577391131</v>
      </c>
      <c r="M49" s="159">
        <f t="shared" si="5"/>
        <v>1407713.7173165043</v>
      </c>
      <c r="N49" s="159">
        <f t="shared" si="5"/>
        <v>1421790.8544896694</v>
      </c>
      <c r="O49" s="159">
        <f t="shared" si="5"/>
        <v>1436008.7630345661</v>
      </c>
      <c r="P49" s="159">
        <f t="shared" si="5"/>
        <v>1450368.8506649118</v>
      </c>
      <c r="Q49" s="159">
        <f t="shared" si="5"/>
        <v>1464872.5391715609</v>
      </c>
      <c r="R49" s="159">
        <f t="shared" si="5"/>
        <v>1479521.2645632764</v>
      </c>
      <c r="S49" s="159">
        <f t="shared" si="5"/>
        <v>1494316.4772089091</v>
      </c>
      <c r="T49" s="159">
        <f t="shared" si="5"/>
        <v>1509259.6419809982</v>
      </c>
      <c r="U49" s="159">
        <f t="shared" si="5"/>
        <v>1524352.2384008083</v>
      </c>
      <c r="V49" s="159">
        <f t="shared" si="5"/>
        <v>1539595.7607848165</v>
      </c>
      <c r="W49" s="75">
        <f>SUM(C49:V49)</f>
        <v>25499171.839266434</v>
      </c>
    </row>
    <row r="50" spans="1:23" s="80" customFormat="1" x14ac:dyDescent="0.5">
      <c r="A50" s="160" t="s">
        <v>34</v>
      </c>
      <c r="B50" s="161">
        <v>0</v>
      </c>
      <c r="C50" s="161">
        <f>(C41-C47-C48)*0.2</f>
        <v>329988.27019215602</v>
      </c>
      <c r="D50" s="161">
        <f t="shared" ref="D50:V50" si="6">(D41-D47-D48)*0.2</f>
        <v>308388.27019215602</v>
      </c>
      <c r="E50" s="161">
        <f t="shared" si="6"/>
        <v>286140.27019215602</v>
      </c>
      <c r="F50" s="161">
        <f t="shared" si="6"/>
        <v>263224.83019215614</v>
      </c>
      <c r="G50" s="161">
        <f t="shared" si="6"/>
        <v>239621.92699215561</v>
      </c>
      <c r="H50" s="161">
        <f t="shared" si="6"/>
        <v>1265299.2068883125</v>
      </c>
      <c r="I50" s="161">
        <f t="shared" si="6"/>
        <v>1765253.0219795106</v>
      </c>
      <c r="J50" s="161">
        <f t="shared" si="6"/>
        <v>1739461.4923744847</v>
      </c>
      <c r="K50" s="161">
        <f t="shared" si="6"/>
        <v>1712896.2168813068</v>
      </c>
      <c r="L50" s="161">
        <f t="shared" si="6"/>
        <v>1685533.9831233341</v>
      </c>
      <c r="M50" s="161">
        <f t="shared" si="6"/>
        <v>1657350.8823526232</v>
      </c>
      <c r="N50" s="161">
        <f t="shared" si="6"/>
        <v>1628322.2885587898</v>
      </c>
      <c r="O50" s="161">
        <f t="shared" si="6"/>
        <v>1598422.8369511415</v>
      </c>
      <c r="P50" s="161">
        <f t="shared" si="6"/>
        <v>1567626.4017952641</v>
      </c>
      <c r="Q50" s="161">
        <f t="shared" si="6"/>
        <v>1535906.0735847105</v>
      </c>
      <c r="R50" s="161">
        <f t="shared" si="6"/>
        <v>1503234.1355278399</v>
      </c>
      <c r="S50" s="161">
        <f t="shared" si="6"/>
        <v>1469582.0393292634</v>
      </c>
      <c r="T50" s="161">
        <f t="shared" si="6"/>
        <v>1434920.3802447293</v>
      </c>
      <c r="U50" s="161">
        <f t="shared" si="6"/>
        <v>1399218.8713876596</v>
      </c>
      <c r="V50" s="161">
        <f t="shared" si="6"/>
        <v>1362446.3172648777</v>
      </c>
      <c r="W50" s="75">
        <f>SUM(C50:V50)</f>
        <v>24752837.716004625</v>
      </c>
    </row>
    <row r="51" spans="1:23" s="73" customFormat="1" x14ac:dyDescent="0.5">
      <c r="A51" s="162" t="s">
        <v>103</v>
      </c>
      <c r="B51" s="163">
        <f>B41+B42-B45-B46-B47-B49-B50</f>
        <v>-23600000</v>
      </c>
      <c r="C51" s="164">
        <f>C41-C47-C48-C49-C50</f>
        <v>1319953.0807686239</v>
      </c>
      <c r="D51" s="164">
        <f>D41-D47-D48-D49-D50</f>
        <v>1233553.0807686239</v>
      </c>
      <c r="E51" s="164">
        <f t="shared" ref="E51" si="7">E41-E47-E48-E49-E50</f>
        <v>-155438.91923137609</v>
      </c>
      <c r="F51" s="164">
        <f>F41-F47-F48-F49-F50</f>
        <v>-260100.67923137546</v>
      </c>
      <c r="G51" s="164">
        <f t="shared" ref="G51:O51" si="8">G41-G47-G48-G49-G50</f>
        <v>-367642.29203137755</v>
      </c>
      <c r="H51" s="164">
        <f t="shared" si="8"/>
        <v>3721805.5275532501</v>
      </c>
      <c r="I51" s="164">
        <f t="shared" si="8"/>
        <v>5708226.8749180418</v>
      </c>
      <c r="J51" s="164">
        <f t="shared" si="8"/>
        <v>5591532.9043679386</v>
      </c>
      <c r="K51" s="164">
        <f t="shared" si="8"/>
        <v>5471608.6717439275</v>
      </c>
      <c r="L51" s="164">
        <f t="shared" si="8"/>
        <v>5348359.9747542236</v>
      </c>
      <c r="M51" s="164">
        <f t="shared" si="8"/>
        <v>5221689.8120939871</v>
      </c>
      <c r="N51" s="164">
        <f t="shared" si="8"/>
        <v>5091498.2997454898</v>
      </c>
      <c r="O51" s="164">
        <f t="shared" si="8"/>
        <v>4957682.5847699996</v>
      </c>
      <c r="P51" s="164">
        <f>P41-P47-P48-P49-P50</f>
        <v>4820136.7565161437</v>
      </c>
      <c r="Q51" s="164">
        <f t="shared" ref="Q51:V51" si="9">Q41-Q47-Q48-Q49-Q50</f>
        <v>4678751.7551672813</v>
      </c>
      <c r="R51" s="164">
        <f t="shared" si="9"/>
        <v>4533415.2775480831</v>
      </c>
      <c r="S51" s="164">
        <f t="shared" si="9"/>
        <v>4384011.6801081439</v>
      </c>
      <c r="T51" s="164">
        <f t="shared" si="9"/>
        <v>4230421.8789979191</v>
      </c>
      <c r="U51" s="164">
        <f t="shared" si="9"/>
        <v>4072523.2471498288</v>
      </c>
      <c r="V51" s="164">
        <f t="shared" si="9"/>
        <v>3910189.5082746944</v>
      </c>
      <c r="W51" s="75">
        <f>SUM(C51:V51)</f>
        <v>73512179.02475208</v>
      </c>
    </row>
    <row r="52" spans="1:23" s="84" customFormat="1" x14ac:dyDescent="0.5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</row>
    <row r="53" spans="1:23" s="84" customFormat="1" x14ac:dyDescent="0.5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</row>
    <row r="54" spans="1:23" s="84" customFormat="1" x14ac:dyDescent="0.5"/>
    <row r="55" spans="1:23" s="88" customFormat="1" x14ac:dyDescent="0.5">
      <c r="A55" s="86" t="s">
        <v>56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</row>
    <row r="56" spans="1:23" x14ac:dyDescent="0.5">
      <c r="A56" s="89" t="s">
        <v>35</v>
      </c>
      <c r="B56" s="90">
        <f>NPV(0.05,B48:V48)</f>
        <v>66302595.180656821</v>
      </c>
      <c r="C56" s="91"/>
    </row>
    <row r="57" spans="1:23" x14ac:dyDescent="0.5">
      <c r="A57" s="89" t="s">
        <v>27</v>
      </c>
      <c r="B57" s="92">
        <f>IRR(B48:V48,0.05)</f>
        <v>0.11680265900178344</v>
      </c>
    </row>
    <row r="58" spans="1:23" x14ac:dyDescent="0.5">
      <c r="A58" s="89" t="s">
        <v>31</v>
      </c>
      <c r="B58" s="93">
        <v>5.12</v>
      </c>
      <c r="C58" s="94"/>
      <c r="E58" s="46" t="s">
        <v>32</v>
      </c>
    </row>
    <row r="59" spans="1:23" x14ac:dyDescent="0.5">
      <c r="A59" s="86"/>
      <c r="B59" s="46" t="s">
        <v>32</v>
      </c>
    </row>
    <row r="60" spans="1:23" s="84" customFormat="1" x14ac:dyDescent="0.5">
      <c r="C60" s="95"/>
    </row>
    <row r="61" spans="1:23" s="88" customFormat="1" x14ac:dyDescent="0.5">
      <c r="B61" s="87"/>
      <c r="C61" s="96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</row>
    <row r="62" spans="1:23" s="88" customFormat="1" x14ac:dyDescent="0.5"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</row>
    <row r="63" spans="1:23" s="88" customFormat="1" x14ac:dyDescent="0.5">
      <c r="A63" s="86" t="s">
        <v>104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</row>
    <row r="64" spans="1:23" x14ac:dyDescent="0.5">
      <c r="A64" s="89" t="s">
        <v>35</v>
      </c>
      <c r="B64" s="90">
        <f>NPV(0.05,B51:V51)</f>
        <v>16765504.411281694</v>
      </c>
      <c r="C64" s="91"/>
    </row>
    <row r="65" spans="1:5" x14ac:dyDescent="0.5">
      <c r="A65" s="89" t="s">
        <v>27</v>
      </c>
      <c r="B65" s="92">
        <f>IRR(B51:V51,0.05)</f>
        <v>0.10554754708907943</v>
      </c>
    </row>
    <row r="66" spans="1:5" x14ac:dyDescent="0.5">
      <c r="A66" s="89" t="s">
        <v>31</v>
      </c>
      <c r="B66" s="93"/>
      <c r="C66" s="94"/>
      <c r="D66" s="46" t="s">
        <v>32</v>
      </c>
      <c r="E66" s="46" t="s">
        <v>32</v>
      </c>
    </row>
    <row r="67" spans="1:5" x14ac:dyDescent="0.5">
      <c r="A67" s="86" t="s">
        <v>28</v>
      </c>
    </row>
  </sheetData>
  <pageMargins left="0.25" right="0.25" top="0.75" bottom="0.75" header="0.3" footer="0.3"/>
  <pageSetup paperSize="9" scale="38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34"/>
  <sheetViews>
    <sheetView topLeftCell="A34" zoomScale="99" zoomScaleNormal="99" workbookViewId="0">
      <selection activeCell="A35" sqref="A35:XFD58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350.52*5</f>
        <v>1752.6</v>
      </c>
      <c r="C4" s="1" t="s">
        <v>75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74</v>
      </c>
      <c r="B13" s="3">
        <v>10695206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1949878.8801836399</v>
      </c>
      <c r="D23" s="6">
        <f t="shared" ref="D23:V23" si="0">((($B$4*$B$7*$F$7)-((($B$4*$B$7*$F$7)*10%))+((($B$4*$B$9)*$F$9)+((($B$4*$B$7)*$F$9)*10%))))</f>
        <v>1949878.8801836399</v>
      </c>
      <c r="E23" s="6">
        <f t="shared" si="0"/>
        <v>1949878.8801836399</v>
      </c>
      <c r="F23" s="6">
        <f t="shared" si="0"/>
        <v>1949878.8801836399</v>
      </c>
      <c r="G23" s="6">
        <f t="shared" si="0"/>
        <v>1949878.8801836399</v>
      </c>
      <c r="H23" s="6">
        <f t="shared" si="0"/>
        <v>1949878.8801836399</v>
      </c>
      <c r="I23" s="6">
        <f t="shared" si="0"/>
        <v>1949878.8801836399</v>
      </c>
      <c r="J23" s="6">
        <f t="shared" si="0"/>
        <v>1949878.8801836399</v>
      </c>
      <c r="K23" s="6">
        <f t="shared" si="0"/>
        <v>1949878.8801836399</v>
      </c>
      <c r="L23" s="6">
        <f t="shared" si="0"/>
        <v>1949878.8801836399</v>
      </c>
      <c r="M23" s="6">
        <f t="shared" si="0"/>
        <v>1949878.8801836399</v>
      </c>
      <c r="N23" s="6">
        <f t="shared" si="0"/>
        <v>1949878.8801836399</v>
      </c>
      <c r="O23" s="6">
        <f t="shared" si="0"/>
        <v>1949878.8801836399</v>
      </c>
      <c r="P23" s="6">
        <f t="shared" si="0"/>
        <v>1949878.8801836399</v>
      </c>
      <c r="Q23" s="6">
        <f t="shared" si="0"/>
        <v>1949878.8801836399</v>
      </c>
      <c r="R23" s="6">
        <f t="shared" si="0"/>
        <v>1949878.8801836399</v>
      </c>
      <c r="S23" s="6">
        <f t="shared" si="0"/>
        <v>1949878.8801836399</v>
      </c>
      <c r="T23" s="6">
        <f t="shared" si="0"/>
        <v>1949878.8801836399</v>
      </c>
      <c r="U23" s="6">
        <f t="shared" si="0"/>
        <v>1949878.8801836399</v>
      </c>
      <c r="V23" s="6">
        <f t="shared" si="0"/>
        <v>1949878.8801836399</v>
      </c>
      <c r="W23" s="9">
        <f>SUM(B23:V23)</f>
        <v>38997577.603672802</v>
      </c>
    </row>
    <row r="24" spans="1:23" s="4" customFormat="1" x14ac:dyDescent="0.25">
      <c r="A24" s="5" t="s">
        <v>29</v>
      </c>
      <c r="B24" s="6">
        <f>B13</f>
        <v>10695206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10695206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69</v>
      </c>
      <c r="B26" s="10">
        <f>B13</f>
        <v>10695206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-10695206</v>
      </c>
      <c r="C29" s="32">
        <f>C23*0.8</f>
        <v>1559903.104146912</v>
      </c>
      <c r="D29" s="32">
        <f t="shared" ref="D29:G29" si="3">D23*0.8</f>
        <v>1559903.104146912</v>
      </c>
      <c r="E29" s="32">
        <f t="shared" si="3"/>
        <v>1559903.104146912</v>
      </c>
      <c r="F29" s="32">
        <f t="shared" si="3"/>
        <v>1559903.104146912</v>
      </c>
      <c r="G29" s="32">
        <f t="shared" si="3"/>
        <v>1559903.104146912</v>
      </c>
      <c r="H29" s="32">
        <f>(H23*0.8*11/12)+(H23*0.5*1/12)</f>
        <v>1511156.1321423212</v>
      </c>
      <c r="I29" s="32">
        <f>I23*0.5</f>
        <v>974939.44009181997</v>
      </c>
      <c r="J29" s="32">
        <f t="shared" ref="J29:V29" si="4">J23*0.5</f>
        <v>974939.44009181997</v>
      </c>
      <c r="K29" s="32">
        <f t="shared" si="4"/>
        <v>974939.44009181997</v>
      </c>
      <c r="L29" s="32">
        <f t="shared" si="4"/>
        <v>974939.44009181997</v>
      </c>
      <c r="M29" s="32">
        <f t="shared" si="4"/>
        <v>974939.44009181997</v>
      </c>
      <c r="N29" s="32">
        <f t="shared" si="4"/>
        <v>974939.44009181997</v>
      </c>
      <c r="O29" s="32">
        <f t="shared" si="4"/>
        <v>974939.44009181997</v>
      </c>
      <c r="P29" s="32">
        <f t="shared" si="4"/>
        <v>974939.44009181997</v>
      </c>
      <c r="Q29" s="32">
        <f t="shared" si="4"/>
        <v>974939.44009181997</v>
      </c>
      <c r="R29" s="32">
        <f t="shared" si="4"/>
        <v>974939.44009181997</v>
      </c>
      <c r="S29" s="32">
        <f t="shared" si="4"/>
        <v>974939.44009181997</v>
      </c>
      <c r="T29" s="32">
        <f t="shared" si="4"/>
        <v>974939.44009181997</v>
      </c>
      <c r="U29" s="32">
        <f t="shared" si="4"/>
        <v>974939.44009181997</v>
      </c>
      <c r="V29" s="32">
        <f t="shared" si="4"/>
        <v>974939.44009181997</v>
      </c>
      <c r="W29" s="33">
        <f>SUM(B29:V29)</f>
        <v>12264617.814162364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106952.06</v>
      </c>
      <c r="F30" s="42">
        <f>E30*1.05</f>
        <v>112299.663</v>
      </c>
      <c r="G30" s="42">
        <f t="shared" ref="G30:V30" si="5">F30*1.05</f>
        <v>117914.64615</v>
      </c>
      <c r="H30" s="42">
        <f t="shared" si="5"/>
        <v>123810.3784575</v>
      </c>
      <c r="I30" s="42">
        <f t="shared" si="5"/>
        <v>130000.89738037501</v>
      </c>
      <c r="J30" s="42">
        <f t="shared" si="5"/>
        <v>136500.94224939376</v>
      </c>
      <c r="K30" s="42">
        <f t="shared" si="5"/>
        <v>143325.98936186347</v>
      </c>
      <c r="L30" s="42">
        <f t="shared" si="5"/>
        <v>150492.28882995664</v>
      </c>
      <c r="M30" s="42">
        <f t="shared" si="5"/>
        <v>158016.90327145447</v>
      </c>
      <c r="N30" s="42">
        <f t="shared" si="5"/>
        <v>165917.7484350272</v>
      </c>
      <c r="O30" s="42">
        <f t="shared" si="5"/>
        <v>174213.63585677856</v>
      </c>
      <c r="P30" s="42">
        <f t="shared" si="5"/>
        <v>182924.3176496175</v>
      </c>
      <c r="Q30" s="42">
        <f t="shared" si="5"/>
        <v>192070.53353209837</v>
      </c>
      <c r="R30" s="42">
        <f t="shared" si="5"/>
        <v>201674.0602087033</v>
      </c>
      <c r="S30" s="42">
        <f t="shared" si="5"/>
        <v>211757.76321913849</v>
      </c>
      <c r="T30" s="42">
        <f t="shared" si="5"/>
        <v>222345.65138009543</v>
      </c>
      <c r="U30" s="42">
        <f t="shared" si="5"/>
        <v>233462.9339491002</v>
      </c>
      <c r="V30" s="42">
        <f t="shared" si="5"/>
        <v>245136.08064655523</v>
      </c>
      <c r="W30" s="9">
        <f>SUM(C30:V30)</f>
        <v>3008816.4935776582</v>
      </c>
    </row>
    <row r="31" spans="1:23" s="28" customFormat="1" x14ac:dyDescent="0.25">
      <c r="A31" s="28" t="s">
        <v>34</v>
      </c>
      <c r="B31" s="29"/>
      <c r="C31" s="29">
        <f>(C23-C28-C29)*0.3</f>
        <v>116992.73281101837</v>
      </c>
      <c r="D31" s="29">
        <f t="shared" ref="D31:V31" si="6">(D23-D28-D29)*0.3</f>
        <v>116992.73281101837</v>
      </c>
      <c r="E31" s="29">
        <f>(E23-E28-E29-E30)*0.3</f>
        <v>84907.114811018386</v>
      </c>
      <c r="F31" s="29">
        <f t="shared" si="6"/>
        <v>116992.73281101837</v>
      </c>
      <c r="G31" s="29">
        <f t="shared" si="6"/>
        <v>116992.73281101837</v>
      </c>
      <c r="H31" s="29">
        <f t="shared" si="6"/>
        <v>131616.82441239562</v>
      </c>
      <c r="I31" s="29">
        <f t="shared" si="6"/>
        <v>292481.83202754596</v>
      </c>
      <c r="J31" s="29">
        <f t="shared" si="6"/>
        <v>292481.83202754596</v>
      </c>
      <c r="K31" s="29">
        <f t="shared" si="6"/>
        <v>292481.83202754596</v>
      </c>
      <c r="L31" s="29">
        <f t="shared" si="6"/>
        <v>292481.83202754596</v>
      </c>
      <c r="M31" s="29">
        <f t="shared" si="6"/>
        <v>292481.83202754596</v>
      </c>
      <c r="N31" s="29">
        <f t="shared" si="6"/>
        <v>292481.83202754596</v>
      </c>
      <c r="O31" s="29">
        <f t="shared" si="6"/>
        <v>292481.83202754596</v>
      </c>
      <c r="P31" s="29">
        <f t="shared" si="6"/>
        <v>292481.83202754596</v>
      </c>
      <c r="Q31" s="29">
        <f t="shared" si="6"/>
        <v>292481.83202754596</v>
      </c>
      <c r="R31" s="29">
        <f t="shared" si="6"/>
        <v>292481.83202754596</v>
      </c>
      <c r="S31" s="29">
        <f t="shared" si="6"/>
        <v>292481.83202754596</v>
      </c>
      <c r="T31" s="29">
        <f t="shared" si="6"/>
        <v>292481.83202754596</v>
      </c>
      <c r="U31" s="29">
        <f t="shared" si="6"/>
        <v>292481.83202754596</v>
      </c>
      <c r="V31" s="29">
        <f t="shared" si="6"/>
        <v>292481.83202754596</v>
      </c>
      <c r="W31" s="9">
        <f>SUM(C31:V31)</f>
        <v>4779240.5188531317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272983.04322570958</v>
      </c>
      <c r="D32" s="26">
        <f t="shared" ref="D32:E32" si="7">D23-D28-D29-D30-D31</f>
        <v>272983.04322570958</v>
      </c>
      <c r="E32" s="26">
        <f t="shared" si="7"/>
        <v>198116.60122570954</v>
      </c>
      <c r="F32" s="26">
        <f>F23-F28-F29-F30-F31</f>
        <v>160683.38022570958</v>
      </c>
      <c r="G32" s="26">
        <f t="shared" ref="G32:O32" si="8">G23-G28-G29-G30-G31</f>
        <v>155068.3970757096</v>
      </c>
      <c r="H32" s="26">
        <f t="shared" si="8"/>
        <v>183295.54517142309</v>
      </c>
      <c r="I32" s="26">
        <f t="shared" si="8"/>
        <v>552456.710683899</v>
      </c>
      <c r="J32" s="26">
        <f t="shared" si="8"/>
        <v>545956.66581488028</v>
      </c>
      <c r="K32" s="26">
        <f t="shared" si="8"/>
        <v>539131.61870241049</v>
      </c>
      <c r="L32" s="26">
        <f t="shared" si="8"/>
        <v>531965.3192343174</v>
      </c>
      <c r="M32" s="26">
        <f t="shared" si="8"/>
        <v>524440.70479281945</v>
      </c>
      <c r="N32" s="26">
        <f t="shared" si="8"/>
        <v>516539.85962924681</v>
      </c>
      <c r="O32" s="26">
        <f t="shared" si="8"/>
        <v>508243.97220749542</v>
      </c>
      <c r="P32" s="26">
        <f>P23-P28-P29-P30-P31</f>
        <v>499533.29041465645</v>
      </c>
      <c r="Q32" s="26">
        <f t="shared" ref="Q32:V32" si="9">Q23-Q28-Q29-Q30-Q31</f>
        <v>490387.07453217561</v>
      </c>
      <c r="R32" s="26">
        <f t="shared" si="9"/>
        <v>480783.54785557074</v>
      </c>
      <c r="S32" s="26">
        <f t="shared" si="9"/>
        <v>470699.84484513552</v>
      </c>
      <c r="T32" s="26">
        <f t="shared" si="9"/>
        <v>460111.95668417861</v>
      </c>
      <c r="U32" s="26">
        <f t="shared" si="9"/>
        <v>448994.67411517381</v>
      </c>
      <c r="V32" s="26">
        <f t="shared" si="9"/>
        <v>437321.52741771884</v>
      </c>
      <c r="W32" s="9">
        <f>SUM(C32:V32)</f>
        <v>8249696.7770796483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34"/>
  <sheetViews>
    <sheetView topLeftCell="A34" zoomScale="99" zoomScaleNormal="99" workbookViewId="0">
      <selection activeCell="A42" sqref="A42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999.8*5</f>
        <v>4999</v>
      </c>
      <c r="C4" s="1" t="s">
        <v>77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76</v>
      </c>
      <c r="B13" s="3">
        <v>27167510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5561705.1934486004</v>
      </c>
      <c r="D23" s="6">
        <f t="shared" ref="D23:V23" si="0">((($B$4*$B$7*$F$7)-((($B$4*$B$7*$F$7)*10%))+((($B$4*$B$9)*$F$9)+((($B$4*$B$7)*$F$9)*10%))))</f>
        <v>5561705.1934486004</v>
      </c>
      <c r="E23" s="6">
        <f t="shared" si="0"/>
        <v>5561705.1934486004</v>
      </c>
      <c r="F23" s="6">
        <f t="shared" si="0"/>
        <v>5561705.1934486004</v>
      </c>
      <c r="G23" s="6">
        <f t="shared" si="0"/>
        <v>5561705.1934486004</v>
      </c>
      <c r="H23" s="6">
        <f t="shared" si="0"/>
        <v>5561705.1934486004</v>
      </c>
      <c r="I23" s="6">
        <f t="shared" si="0"/>
        <v>5561705.1934486004</v>
      </c>
      <c r="J23" s="6">
        <f t="shared" si="0"/>
        <v>5561705.1934486004</v>
      </c>
      <c r="K23" s="6">
        <f t="shared" si="0"/>
        <v>5561705.1934486004</v>
      </c>
      <c r="L23" s="6">
        <f t="shared" si="0"/>
        <v>5561705.1934486004</v>
      </c>
      <c r="M23" s="6">
        <f t="shared" si="0"/>
        <v>5561705.1934486004</v>
      </c>
      <c r="N23" s="6">
        <f t="shared" si="0"/>
        <v>5561705.1934486004</v>
      </c>
      <c r="O23" s="6">
        <f t="shared" si="0"/>
        <v>5561705.1934486004</v>
      </c>
      <c r="P23" s="6">
        <f t="shared" si="0"/>
        <v>5561705.1934486004</v>
      </c>
      <c r="Q23" s="6">
        <f t="shared" si="0"/>
        <v>5561705.1934486004</v>
      </c>
      <c r="R23" s="6">
        <f t="shared" si="0"/>
        <v>5561705.1934486004</v>
      </c>
      <c r="S23" s="6">
        <f t="shared" si="0"/>
        <v>5561705.1934486004</v>
      </c>
      <c r="T23" s="6">
        <f t="shared" si="0"/>
        <v>5561705.1934486004</v>
      </c>
      <c r="U23" s="6">
        <f t="shared" si="0"/>
        <v>5561705.1934486004</v>
      </c>
      <c r="V23" s="6">
        <f t="shared" si="0"/>
        <v>5561705.1934486004</v>
      </c>
      <c r="W23" s="9">
        <f>SUM(B23:V23)</f>
        <v>111234103.86897203</v>
      </c>
    </row>
    <row r="24" spans="1:23" s="4" customFormat="1" x14ac:dyDescent="0.25">
      <c r="A24" s="5" t="s">
        <v>29</v>
      </c>
      <c r="B24" s="6">
        <f>B13</f>
        <v>27167510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27167510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69</v>
      </c>
      <c r="B26" s="10">
        <f>B13</f>
        <v>27167510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-27167510</v>
      </c>
      <c r="C29" s="32">
        <f>C23*0.8</f>
        <v>4449364.1547588808</v>
      </c>
      <c r="D29" s="32">
        <f t="shared" ref="D29:G29" si="3">D23*0.8</f>
        <v>4449364.1547588808</v>
      </c>
      <c r="E29" s="32">
        <f t="shared" si="3"/>
        <v>4449364.1547588808</v>
      </c>
      <c r="F29" s="32">
        <f t="shared" si="3"/>
        <v>4449364.1547588808</v>
      </c>
      <c r="G29" s="32">
        <f t="shared" si="3"/>
        <v>4449364.1547588808</v>
      </c>
      <c r="H29" s="32">
        <f>(H23*0.8*11/12)+(H23*0.5*1/12)</f>
        <v>4310321.5249226661</v>
      </c>
      <c r="I29" s="32">
        <f>I23*0.5</f>
        <v>2780852.5967243002</v>
      </c>
      <c r="J29" s="32">
        <f t="shared" ref="J29:V29" si="4">J23*0.5</f>
        <v>2780852.5967243002</v>
      </c>
      <c r="K29" s="32">
        <f t="shared" si="4"/>
        <v>2780852.5967243002</v>
      </c>
      <c r="L29" s="32">
        <f t="shared" si="4"/>
        <v>2780852.5967243002</v>
      </c>
      <c r="M29" s="32">
        <f t="shared" si="4"/>
        <v>2780852.5967243002</v>
      </c>
      <c r="N29" s="32">
        <f t="shared" si="4"/>
        <v>2780852.5967243002</v>
      </c>
      <c r="O29" s="32">
        <f t="shared" si="4"/>
        <v>2780852.5967243002</v>
      </c>
      <c r="P29" s="32">
        <f t="shared" si="4"/>
        <v>2780852.5967243002</v>
      </c>
      <c r="Q29" s="32">
        <f t="shared" si="4"/>
        <v>2780852.5967243002</v>
      </c>
      <c r="R29" s="32">
        <f t="shared" si="4"/>
        <v>2780852.5967243002</v>
      </c>
      <c r="S29" s="32">
        <f t="shared" si="4"/>
        <v>2780852.5967243002</v>
      </c>
      <c r="T29" s="32">
        <f t="shared" si="4"/>
        <v>2780852.5967243002</v>
      </c>
      <c r="U29" s="32">
        <f t="shared" si="4"/>
        <v>2780852.5967243002</v>
      </c>
      <c r="V29" s="32">
        <f t="shared" si="4"/>
        <v>2780852.5967243002</v>
      </c>
      <c r="W29" s="33">
        <f>SUM(B29:V29)</f>
        <v>38321568.652857281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271675.09999999998</v>
      </c>
      <c r="F30" s="42">
        <f>E30*1.05</f>
        <v>285258.85499999998</v>
      </c>
      <c r="G30" s="42">
        <f t="shared" ref="G30:V30" si="5">F30*1.05</f>
        <v>299521.79774999997</v>
      </c>
      <c r="H30" s="42">
        <f t="shared" si="5"/>
        <v>314497.88763749995</v>
      </c>
      <c r="I30" s="42">
        <f t="shared" si="5"/>
        <v>330222.78201937495</v>
      </c>
      <c r="J30" s="42">
        <f t="shared" si="5"/>
        <v>346733.92112034373</v>
      </c>
      <c r="K30" s="42">
        <f t="shared" si="5"/>
        <v>364070.61717636092</v>
      </c>
      <c r="L30" s="42">
        <f t="shared" si="5"/>
        <v>382274.14803517895</v>
      </c>
      <c r="M30" s="42">
        <f t="shared" si="5"/>
        <v>401387.85543693794</v>
      </c>
      <c r="N30" s="42">
        <f t="shared" si="5"/>
        <v>421457.24820878485</v>
      </c>
      <c r="O30" s="42">
        <f t="shared" si="5"/>
        <v>442530.11061922408</v>
      </c>
      <c r="P30" s="42">
        <f t="shared" si="5"/>
        <v>464656.61615018529</v>
      </c>
      <c r="Q30" s="42">
        <f t="shared" si="5"/>
        <v>487889.4469576946</v>
      </c>
      <c r="R30" s="42">
        <f t="shared" si="5"/>
        <v>512283.91930557933</v>
      </c>
      <c r="S30" s="42">
        <f t="shared" si="5"/>
        <v>537898.11527085828</v>
      </c>
      <c r="T30" s="42">
        <f t="shared" si="5"/>
        <v>564793.02103440126</v>
      </c>
      <c r="U30" s="42">
        <f t="shared" si="5"/>
        <v>593032.6720861214</v>
      </c>
      <c r="V30" s="42">
        <f t="shared" si="5"/>
        <v>622684.30569042754</v>
      </c>
      <c r="W30" s="9">
        <f>SUM(C30:V30)</f>
        <v>7642868.4194989735</v>
      </c>
    </row>
    <row r="31" spans="1:23" s="28" customFormat="1" x14ac:dyDescent="0.25">
      <c r="A31" s="28" t="s">
        <v>34</v>
      </c>
      <c r="B31" s="29"/>
      <c r="C31" s="29">
        <f>(C23-C28-C29)*0.3</f>
        <v>333702.31160691584</v>
      </c>
      <c r="D31" s="29">
        <f t="shared" ref="D31:V31" si="6">(D23-D28-D29)*0.3</f>
        <v>333702.31160691584</v>
      </c>
      <c r="E31" s="29">
        <f>(E23-E28-E29-E30)*0.3</f>
        <v>252199.78160691584</v>
      </c>
      <c r="F31" s="29">
        <f t="shared" si="6"/>
        <v>333702.31160691584</v>
      </c>
      <c r="G31" s="29">
        <f t="shared" si="6"/>
        <v>333702.31160691584</v>
      </c>
      <c r="H31" s="29">
        <f t="shared" si="6"/>
        <v>375415.10055778024</v>
      </c>
      <c r="I31" s="29">
        <f t="shared" si="6"/>
        <v>834255.77901728998</v>
      </c>
      <c r="J31" s="29">
        <f t="shared" si="6"/>
        <v>834255.77901728998</v>
      </c>
      <c r="K31" s="29">
        <f t="shared" si="6"/>
        <v>834255.77901728998</v>
      </c>
      <c r="L31" s="29">
        <f t="shared" si="6"/>
        <v>834255.77901728998</v>
      </c>
      <c r="M31" s="29">
        <f t="shared" si="6"/>
        <v>834255.77901728998</v>
      </c>
      <c r="N31" s="29">
        <f t="shared" si="6"/>
        <v>834255.77901728998</v>
      </c>
      <c r="O31" s="29">
        <f t="shared" si="6"/>
        <v>834255.77901728998</v>
      </c>
      <c r="P31" s="29">
        <f t="shared" si="6"/>
        <v>834255.77901728998</v>
      </c>
      <c r="Q31" s="29">
        <f t="shared" si="6"/>
        <v>834255.77901728998</v>
      </c>
      <c r="R31" s="29">
        <f t="shared" si="6"/>
        <v>834255.77901728998</v>
      </c>
      <c r="S31" s="29">
        <f t="shared" si="6"/>
        <v>834255.77901728998</v>
      </c>
      <c r="T31" s="29">
        <f t="shared" si="6"/>
        <v>834255.77901728998</v>
      </c>
      <c r="U31" s="29">
        <f t="shared" si="6"/>
        <v>834255.77901728998</v>
      </c>
      <c r="V31" s="29">
        <f t="shared" si="6"/>
        <v>834255.77901728998</v>
      </c>
      <c r="W31" s="9">
        <f>SUM(C31:V31)</f>
        <v>13642005.03483442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778638.72708280361</v>
      </c>
      <c r="D32" s="26">
        <f t="shared" ref="D32:E32" si="7">D23-D28-D29-D30-D31</f>
        <v>778638.72708280361</v>
      </c>
      <c r="E32" s="26">
        <f t="shared" si="7"/>
        <v>588466.15708280366</v>
      </c>
      <c r="F32" s="26">
        <f>F23-F28-F29-F30-F31</f>
        <v>493379.87208280369</v>
      </c>
      <c r="G32" s="26">
        <f t="shared" ref="G32:O32" si="8">G23-G28-G29-G30-G31</f>
        <v>479116.92933280376</v>
      </c>
      <c r="H32" s="26">
        <f t="shared" si="8"/>
        <v>561470.68033065402</v>
      </c>
      <c r="I32" s="26">
        <f t="shared" si="8"/>
        <v>1616374.0356876352</v>
      </c>
      <c r="J32" s="26">
        <f t="shared" si="8"/>
        <v>1599862.8965866663</v>
      </c>
      <c r="K32" s="26">
        <f t="shared" si="8"/>
        <v>1582526.2005306492</v>
      </c>
      <c r="L32" s="26">
        <f t="shared" si="8"/>
        <v>1564322.6696718312</v>
      </c>
      <c r="M32" s="26">
        <f t="shared" si="8"/>
        <v>1545208.9622700722</v>
      </c>
      <c r="N32" s="26">
        <f t="shared" si="8"/>
        <v>1525139.5694982251</v>
      </c>
      <c r="O32" s="26">
        <f t="shared" si="8"/>
        <v>1504066.7070877859</v>
      </c>
      <c r="P32" s="26">
        <f>P23-P28-P29-P30-P31</f>
        <v>1481940.2015568246</v>
      </c>
      <c r="Q32" s="26">
        <f t="shared" ref="Q32:V32" si="9">Q23-Q28-Q29-Q30-Q31</f>
        <v>1458707.3707493152</v>
      </c>
      <c r="R32" s="26">
        <f t="shared" si="9"/>
        <v>1434312.8984014308</v>
      </c>
      <c r="S32" s="26">
        <f t="shared" si="9"/>
        <v>1408698.7024361519</v>
      </c>
      <c r="T32" s="26">
        <f t="shared" si="9"/>
        <v>1381803.7966726087</v>
      </c>
      <c r="U32" s="26">
        <f t="shared" si="9"/>
        <v>1353564.1456208886</v>
      </c>
      <c r="V32" s="26">
        <f t="shared" si="9"/>
        <v>1323912.5120165823</v>
      </c>
      <c r="W32" s="9">
        <f>SUM(C32:V32)</f>
        <v>24460151.761781346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34"/>
  <sheetViews>
    <sheetView topLeftCell="A34" zoomScale="99" zoomScaleNormal="99" workbookViewId="0">
      <selection activeCell="A35" sqref="A35:XFD55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149.04*5</f>
        <v>745.19999999999993</v>
      </c>
      <c r="C4" s="1" t="s">
        <v>79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78</v>
      </c>
      <c r="B13" s="3">
        <v>3087232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829082.35850327997</v>
      </c>
      <c r="D23" s="6">
        <f t="shared" ref="D23:V23" si="0">((($B$4*$B$7*$F$7)-((($B$4*$B$7*$F$7)*10%))+((($B$4*$B$9)*$F$9)+((($B$4*$B$7)*$F$9)*10%))))</f>
        <v>829082.35850327997</v>
      </c>
      <c r="E23" s="6">
        <f t="shared" si="0"/>
        <v>829082.35850327997</v>
      </c>
      <c r="F23" s="6">
        <f t="shared" si="0"/>
        <v>829082.35850327997</v>
      </c>
      <c r="G23" s="6">
        <f t="shared" si="0"/>
        <v>829082.35850327997</v>
      </c>
      <c r="H23" s="6">
        <f t="shared" si="0"/>
        <v>829082.35850327997</v>
      </c>
      <c r="I23" s="6">
        <f t="shared" si="0"/>
        <v>829082.35850327997</v>
      </c>
      <c r="J23" s="6">
        <f t="shared" si="0"/>
        <v>829082.35850327997</v>
      </c>
      <c r="K23" s="6">
        <f t="shared" si="0"/>
        <v>829082.35850327997</v>
      </c>
      <c r="L23" s="6">
        <f t="shared" si="0"/>
        <v>829082.35850327997</v>
      </c>
      <c r="M23" s="6">
        <f t="shared" si="0"/>
        <v>829082.35850327997</v>
      </c>
      <c r="N23" s="6">
        <f t="shared" si="0"/>
        <v>829082.35850327997</v>
      </c>
      <c r="O23" s="6">
        <f t="shared" si="0"/>
        <v>829082.35850327997</v>
      </c>
      <c r="P23" s="6">
        <f t="shared" si="0"/>
        <v>829082.35850327997</v>
      </c>
      <c r="Q23" s="6">
        <f t="shared" si="0"/>
        <v>829082.35850327997</v>
      </c>
      <c r="R23" s="6">
        <f t="shared" si="0"/>
        <v>829082.35850327997</v>
      </c>
      <c r="S23" s="6">
        <f t="shared" si="0"/>
        <v>829082.35850327997</v>
      </c>
      <c r="T23" s="6">
        <f t="shared" si="0"/>
        <v>829082.35850327997</v>
      </c>
      <c r="U23" s="6">
        <f t="shared" si="0"/>
        <v>829082.35850327997</v>
      </c>
      <c r="V23" s="6">
        <f t="shared" si="0"/>
        <v>829082.35850327997</v>
      </c>
      <c r="W23" s="9">
        <f>SUM(B23:V23)</f>
        <v>16581647.170065602</v>
      </c>
    </row>
    <row r="24" spans="1:23" s="4" customFormat="1" x14ac:dyDescent="0.25">
      <c r="A24" s="5" t="s">
        <v>29</v>
      </c>
      <c r="B24" s="6">
        <f>B13</f>
        <v>3087232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3087232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69</v>
      </c>
      <c r="B26" s="10">
        <f>B13</f>
        <v>3087232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-3087232</v>
      </c>
      <c r="C29" s="32">
        <f>C23*0.8</f>
        <v>663265.88680262398</v>
      </c>
      <c r="D29" s="32">
        <f t="shared" ref="D29:G29" si="3">D23*0.8</f>
        <v>663265.88680262398</v>
      </c>
      <c r="E29" s="32">
        <f t="shared" si="3"/>
        <v>663265.88680262398</v>
      </c>
      <c r="F29" s="32">
        <f t="shared" si="3"/>
        <v>663265.88680262398</v>
      </c>
      <c r="G29" s="32">
        <f t="shared" si="3"/>
        <v>663265.88680262398</v>
      </c>
      <c r="H29" s="32">
        <f>(H23*0.8*11/12)+(H23*0.5*1/12)</f>
        <v>642538.82784004207</v>
      </c>
      <c r="I29" s="32">
        <f>I23*0.5</f>
        <v>414541.17925163999</v>
      </c>
      <c r="J29" s="32">
        <f t="shared" ref="J29:V29" si="4">J23*0.5</f>
        <v>414541.17925163999</v>
      </c>
      <c r="K29" s="32">
        <f t="shared" si="4"/>
        <v>414541.17925163999</v>
      </c>
      <c r="L29" s="32">
        <f t="shared" si="4"/>
        <v>414541.17925163999</v>
      </c>
      <c r="M29" s="32">
        <f t="shared" si="4"/>
        <v>414541.17925163999</v>
      </c>
      <c r="N29" s="32">
        <f t="shared" si="4"/>
        <v>414541.17925163999</v>
      </c>
      <c r="O29" s="32">
        <f t="shared" si="4"/>
        <v>414541.17925163999</v>
      </c>
      <c r="P29" s="32">
        <f t="shared" si="4"/>
        <v>414541.17925163999</v>
      </c>
      <c r="Q29" s="32">
        <f t="shared" si="4"/>
        <v>414541.17925163999</v>
      </c>
      <c r="R29" s="32">
        <f t="shared" si="4"/>
        <v>414541.17925163999</v>
      </c>
      <c r="S29" s="32">
        <f t="shared" si="4"/>
        <v>414541.17925163999</v>
      </c>
      <c r="T29" s="32">
        <f t="shared" si="4"/>
        <v>414541.17925163999</v>
      </c>
      <c r="U29" s="32">
        <f t="shared" si="4"/>
        <v>414541.17925163999</v>
      </c>
      <c r="V29" s="32">
        <f t="shared" si="4"/>
        <v>414541.17925163999</v>
      </c>
      <c r="W29" s="33">
        <f>SUM(B29:V29)</f>
        <v>6675212.7713761227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30872.32</v>
      </c>
      <c r="F30" s="42">
        <f>E30*1.05</f>
        <v>32415.936000000002</v>
      </c>
      <c r="G30" s="42">
        <f t="shared" ref="G30:V30" si="5">F30*1.05</f>
        <v>34036.732800000005</v>
      </c>
      <c r="H30" s="42">
        <f t="shared" si="5"/>
        <v>35738.569440000007</v>
      </c>
      <c r="I30" s="42">
        <f t="shared" si="5"/>
        <v>37525.497912000006</v>
      </c>
      <c r="J30" s="42">
        <f t="shared" si="5"/>
        <v>39401.772807600006</v>
      </c>
      <c r="K30" s="42">
        <f t="shared" si="5"/>
        <v>41371.861447980009</v>
      </c>
      <c r="L30" s="42">
        <f t="shared" si="5"/>
        <v>43440.454520379011</v>
      </c>
      <c r="M30" s="42">
        <f t="shared" si="5"/>
        <v>45612.477246397961</v>
      </c>
      <c r="N30" s="42">
        <f t="shared" si="5"/>
        <v>47893.101108717863</v>
      </c>
      <c r="O30" s="42">
        <f t="shared" si="5"/>
        <v>50287.756164153761</v>
      </c>
      <c r="P30" s="42">
        <f t="shared" si="5"/>
        <v>52802.143972361453</v>
      </c>
      <c r="Q30" s="42">
        <f t="shared" si="5"/>
        <v>55442.251170979529</v>
      </c>
      <c r="R30" s="42">
        <f t="shared" si="5"/>
        <v>58214.363729528508</v>
      </c>
      <c r="S30" s="42">
        <f t="shared" si="5"/>
        <v>61125.081916004936</v>
      </c>
      <c r="T30" s="42">
        <f t="shared" si="5"/>
        <v>64181.336011805186</v>
      </c>
      <c r="U30" s="42">
        <f t="shared" si="5"/>
        <v>67390.402812395449</v>
      </c>
      <c r="V30" s="42">
        <f t="shared" si="5"/>
        <v>70759.922953015222</v>
      </c>
      <c r="W30" s="9">
        <f>SUM(C30:V30)</f>
        <v>868511.98201331892</v>
      </c>
    </row>
    <row r="31" spans="1:23" s="28" customFormat="1" x14ac:dyDescent="0.25">
      <c r="A31" s="28" t="s">
        <v>34</v>
      </c>
      <c r="B31" s="29"/>
      <c r="C31" s="29">
        <f>(C23-C28-C29)*0.3</f>
        <v>49744.941510196797</v>
      </c>
      <c r="D31" s="29">
        <f t="shared" ref="D31:V31" si="6">(D23-D28-D29)*0.3</f>
        <v>49744.941510196797</v>
      </c>
      <c r="E31" s="29">
        <f>(E23-E28-E29-E30)*0.3</f>
        <v>40483.245510196793</v>
      </c>
      <c r="F31" s="29">
        <f t="shared" si="6"/>
        <v>49744.941510196797</v>
      </c>
      <c r="G31" s="29">
        <f t="shared" si="6"/>
        <v>49744.941510196797</v>
      </c>
      <c r="H31" s="29">
        <f t="shared" si="6"/>
        <v>55963.059198971372</v>
      </c>
      <c r="I31" s="29">
        <f t="shared" si="6"/>
        <v>124362.353775492</v>
      </c>
      <c r="J31" s="29">
        <f t="shared" si="6"/>
        <v>124362.353775492</v>
      </c>
      <c r="K31" s="29">
        <f t="shared" si="6"/>
        <v>124362.353775492</v>
      </c>
      <c r="L31" s="29">
        <f t="shared" si="6"/>
        <v>124362.353775492</v>
      </c>
      <c r="M31" s="29">
        <f t="shared" si="6"/>
        <v>124362.353775492</v>
      </c>
      <c r="N31" s="29">
        <f t="shared" si="6"/>
        <v>124362.353775492</v>
      </c>
      <c r="O31" s="29">
        <f t="shared" si="6"/>
        <v>124362.353775492</v>
      </c>
      <c r="P31" s="29">
        <f t="shared" si="6"/>
        <v>124362.353775492</v>
      </c>
      <c r="Q31" s="29">
        <f t="shared" si="6"/>
        <v>124362.353775492</v>
      </c>
      <c r="R31" s="29">
        <f t="shared" si="6"/>
        <v>124362.353775492</v>
      </c>
      <c r="S31" s="29">
        <f t="shared" si="6"/>
        <v>124362.353775492</v>
      </c>
      <c r="T31" s="29">
        <f t="shared" si="6"/>
        <v>124362.353775492</v>
      </c>
      <c r="U31" s="29">
        <f t="shared" si="6"/>
        <v>124362.353775492</v>
      </c>
      <c r="V31" s="29">
        <f t="shared" si="6"/>
        <v>124362.353775492</v>
      </c>
      <c r="W31" s="9">
        <f>SUM(C31:V31)</f>
        <v>2036499.0236068426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116071.53019045919</v>
      </c>
      <c r="D32" s="26">
        <f t="shared" ref="D32:E32" si="7">D23-D28-D29-D30-D31</f>
        <v>116071.53019045919</v>
      </c>
      <c r="E32" s="26">
        <f t="shared" si="7"/>
        <v>94460.906190459194</v>
      </c>
      <c r="F32" s="26">
        <f>F23-F28-F29-F30-F31</f>
        <v>83655.594190459204</v>
      </c>
      <c r="G32" s="26">
        <f t="shared" ref="G32:O32" si="8">G23-G28-G29-G30-G31</f>
        <v>82034.797390459193</v>
      </c>
      <c r="H32" s="26">
        <f t="shared" si="8"/>
        <v>94841.902024266543</v>
      </c>
      <c r="I32" s="26">
        <f t="shared" si="8"/>
        <v>252653.327564148</v>
      </c>
      <c r="J32" s="26">
        <f t="shared" si="8"/>
        <v>250777.05266854801</v>
      </c>
      <c r="K32" s="26">
        <f t="shared" si="8"/>
        <v>248806.964028168</v>
      </c>
      <c r="L32" s="26">
        <f t="shared" si="8"/>
        <v>246738.37095576897</v>
      </c>
      <c r="M32" s="26">
        <f t="shared" si="8"/>
        <v>244566.34822975</v>
      </c>
      <c r="N32" s="26">
        <f t="shared" si="8"/>
        <v>242285.72436743014</v>
      </c>
      <c r="O32" s="26">
        <f t="shared" si="8"/>
        <v>239891.06931199424</v>
      </c>
      <c r="P32" s="26">
        <f>P23-P28-P29-P30-P31</f>
        <v>237376.68150378653</v>
      </c>
      <c r="Q32" s="26">
        <f t="shared" ref="Q32:V32" si="9">Q23-Q28-Q29-Q30-Q31</f>
        <v>234736.57430516847</v>
      </c>
      <c r="R32" s="26">
        <f t="shared" si="9"/>
        <v>231964.46174661949</v>
      </c>
      <c r="S32" s="26">
        <f t="shared" si="9"/>
        <v>229053.74356014305</v>
      </c>
      <c r="T32" s="26">
        <f t="shared" si="9"/>
        <v>225997.48946434283</v>
      </c>
      <c r="U32" s="26">
        <f t="shared" si="9"/>
        <v>222788.42266375251</v>
      </c>
      <c r="V32" s="26">
        <f t="shared" si="9"/>
        <v>219418.9025231328</v>
      </c>
      <c r="W32" s="9">
        <f>SUM(C32:V32)</f>
        <v>3914191.3930693162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34"/>
  <sheetViews>
    <sheetView topLeftCell="A22" zoomScale="99" zoomScaleNormal="99" workbookViewId="0">
      <selection activeCell="B39" sqref="B39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536.06*5</f>
        <v>2680.2999999999997</v>
      </c>
      <c r="C4" s="1" t="s">
        <v>80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78</v>
      </c>
      <c r="B13" s="3">
        <v>14259678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2982004.0868174196</v>
      </c>
      <c r="D23" s="6">
        <f t="shared" ref="D23:V23" si="0">((($B$4*$B$7*$F$7)-((($B$4*$B$7*$F$7)*10%))+((($B$4*$B$9)*$F$9)+((($B$4*$B$7)*$F$9)*10%))))</f>
        <v>2982004.0868174196</v>
      </c>
      <c r="E23" s="6">
        <f t="shared" si="0"/>
        <v>2982004.0868174196</v>
      </c>
      <c r="F23" s="6">
        <f t="shared" si="0"/>
        <v>2982004.0868174196</v>
      </c>
      <c r="G23" s="6">
        <f t="shared" si="0"/>
        <v>2982004.0868174196</v>
      </c>
      <c r="H23" s="6">
        <f t="shared" si="0"/>
        <v>2982004.0868174196</v>
      </c>
      <c r="I23" s="6">
        <f t="shared" si="0"/>
        <v>2982004.0868174196</v>
      </c>
      <c r="J23" s="6">
        <f t="shared" si="0"/>
        <v>2982004.0868174196</v>
      </c>
      <c r="K23" s="6">
        <f t="shared" si="0"/>
        <v>2982004.0868174196</v>
      </c>
      <c r="L23" s="6">
        <f t="shared" si="0"/>
        <v>2982004.0868174196</v>
      </c>
      <c r="M23" s="6">
        <f t="shared" si="0"/>
        <v>2982004.0868174196</v>
      </c>
      <c r="N23" s="6">
        <f t="shared" si="0"/>
        <v>2982004.0868174196</v>
      </c>
      <c r="O23" s="6">
        <f t="shared" si="0"/>
        <v>2982004.0868174196</v>
      </c>
      <c r="P23" s="6">
        <f t="shared" si="0"/>
        <v>2982004.0868174196</v>
      </c>
      <c r="Q23" s="6">
        <f t="shared" si="0"/>
        <v>2982004.0868174196</v>
      </c>
      <c r="R23" s="6">
        <f t="shared" si="0"/>
        <v>2982004.0868174196</v>
      </c>
      <c r="S23" s="6">
        <f t="shared" si="0"/>
        <v>2982004.0868174196</v>
      </c>
      <c r="T23" s="6">
        <f t="shared" si="0"/>
        <v>2982004.0868174196</v>
      </c>
      <c r="U23" s="6">
        <f t="shared" si="0"/>
        <v>2982004.0868174196</v>
      </c>
      <c r="V23" s="6">
        <f t="shared" si="0"/>
        <v>2982004.0868174196</v>
      </c>
      <c r="W23" s="9">
        <f>SUM(B23:V23)</f>
        <v>59640081.736348413</v>
      </c>
    </row>
    <row r="24" spans="1:23" s="4" customFormat="1" x14ac:dyDescent="0.25">
      <c r="A24" s="5" t="s">
        <v>29</v>
      </c>
      <c r="B24" s="6">
        <f>B13</f>
        <v>14259678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14259678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69</v>
      </c>
      <c r="B26" s="10">
        <f>B13</f>
        <v>14259678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-14259678</v>
      </c>
      <c r="C29" s="32">
        <f>C23*0.8</f>
        <v>2385603.2694539358</v>
      </c>
      <c r="D29" s="32">
        <f t="shared" ref="D29:G29" si="3">D23*0.8</f>
        <v>2385603.2694539358</v>
      </c>
      <c r="E29" s="32">
        <f t="shared" si="3"/>
        <v>2385603.2694539358</v>
      </c>
      <c r="F29" s="32">
        <f t="shared" si="3"/>
        <v>2385603.2694539358</v>
      </c>
      <c r="G29" s="32">
        <f t="shared" si="3"/>
        <v>2385603.2694539358</v>
      </c>
      <c r="H29" s="32">
        <f>(H23*0.8*11/12)+(H23*0.5*1/12)</f>
        <v>2311053.1672835005</v>
      </c>
      <c r="I29" s="32">
        <f>I23*0.5</f>
        <v>1491002.0434087098</v>
      </c>
      <c r="J29" s="32">
        <f t="shared" ref="J29:V29" si="4">J23*0.5</f>
        <v>1491002.0434087098</v>
      </c>
      <c r="K29" s="32">
        <f t="shared" si="4"/>
        <v>1491002.0434087098</v>
      </c>
      <c r="L29" s="32">
        <f t="shared" si="4"/>
        <v>1491002.0434087098</v>
      </c>
      <c r="M29" s="32">
        <f t="shared" si="4"/>
        <v>1491002.0434087098</v>
      </c>
      <c r="N29" s="32">
        <f t="shared" si="4"/>
        <v>1491002.0434087098</v>
      </c>
      <c r="O29" s="32">
        <f t="shared" si="4"/>
        <v>1491002.0434087098</v>
      </c>
      <c r="P29" s="32">
        <f t="shared" si="4"/>
        <v>1491002.0434087098</v>
      </c>
      <c r="Q29" s="32">
        <f t="shared" si="4"/>
        <v>1491002.0434087098</v>
      </c>
      <c r="R29" s="32">
        <f t="shared" si="4"/>
        <v>1491002.0434087098</v>
      </c>
      <c r="S29" s="32">
        <f t="shared" si="4"/>
        <v>1491002.0434087098</v>
      </c>
      <c r="T29" s="32">
        <f t="shared" si="4"/>
        <v>1491002.0434087098</v>
      </c>
      <c r="U29" s="32">
        <f t="shared" si="4"/>
        <v>1491002.0434087098</v>
      </c>
      <c r="V29" s="32">
        <f t="shared" si="4"/>
        <v>1491002.0434087098</v>
      </c>
      <c r="W29" s="33">
        <f>SUM(B29:V29)</f>
        <v>20853420.122275118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142596.78</v>
      </c>
      <c r="F30" s="42">
        <f>E30*1.05</f>
        <v>149726.61900000001</v>
      </c>
      <c r="G30" s="42">
        <f t="shared" ref="G30:V30" si="5">F30*1.05</f>
        <v>157212.94995000001</v>
      </c>
      <c r="H30" s="42">
        <f t="shared" si="5"/>
        <v>165073.59744750001</v>
      </c>
      <c r="I30" s="42">
        <f t="shared" si="5"/>
        <v>173327.27731987502</v>
      </c>
      <c r="J30" s="42">
        <f t="shared" si="5"/>
        <v>181993.64118586879</v>
      </c>
      <c r="K30" s="42">
        <f t="shared" si="5"/>
        <v>191093.32324516223</v>
      </c>
      <c r="L30" s="42">
        <f t="shared" si="5"/>
        <v>200647.98940742036</v>
      </c>
      <c r="M30" s="42">
        <f t="shared" si="5"/>
        <v>210680.38887779138</v>
      </c>
      <c r="N30" s="42">
        <f t="shared" si="5"/>
        <v>221214.40832168097</v>
      </c>
      <c r="O30" s="42">
        <f t="shared" si="5"/>
        <v>232275.12873776502</v>
      </c>
      <c r="P30" s="42">
        <f t="shared" si="5"/>
        <v>243888.88517465329</v>
      </c>
      <c r="Q30" s="42">
        <f t="shared" si="5"/>
        <v>256083.32943338595</v>
      </c>
      <c r="R30" s="42">
        <f t="shared" si="5"/>
        <v>268887.49590505526</v>
      </c>
      <c r="S30" s="42">
        <f t="shared" si="5"/>
        <v>282331.87070030801</v>
      </c>
      <c r="T30" s="42">
        <f t="shared" si="5"/>
        <v>296448.46423532342</v>
      </c>
      <c r="U30" s="42">
        <f t="shared" si="5"/>
        <v>311270.8874470896</v>
      </c>
      <c r="V30" s="42">
        <f t="shared" si="5"/>
        <v>326834.43181944411</v>
      </c>
      <c r="W30" s="9">
        <f>SUM(C30:V30)</f>
        <v>4011587.4682083232</v>
      </c>
    </row>
    <row r="31" spans="1:23" s="28" customFormat="1" x14ac:dyDescent="0.25">
      <c r="A31" s="28" t="s">
        <v>34</v>
      </c>
      <c r="B31" s="29"/>
      <c r="C31" s="29">
        <f>(C23-C28-C29)*0.3</f>
        <v>178920.24520904516</v>
      </c>
      <c r="D31" s="29">
        <f t="shared" ref="D31:V31" si="6">(D23-D28-D29)*0.3</f>
        <v>178920.24520904516</v>
      </c>
      <c r="E31" s="29">
        <f>(E23-E28-E29-E30)*0.3</f>
        <v>136141.21120904514</v>
      </c>
      <c r="F31" s="29">
        <f t="shared" si="6"/>
        <v>178920.24520904516</v>
      </c>
      <c r="G31" s="29">
        <f t="shared" si="6"/>
        <v>178920.24520904516</v>
      </c>
      <c r="H31" s="29">
        <f t="shared" si="6"/>
        <v>201285.27586017572</v>
      </c>
      <c r="I31" s="29">
        <f t="shared" si="6"/>
        <v>447300.61302261293</v>
      </c>
      <c r="J31" s="29">
        <f t="shared" si="6"/>
        <v>447300.61302261293</v>
      </c>
      <c r="K31" s="29">
        <f t="shared" si="6"/>
        <v>447300.61302261293</v>
      </c>
      <c r="L31" s="29">
        <f t="shared" si="6"/>
        <v>447300.61302261293</v>
      </c>
      <c r="M31" s="29">
        <f t="shared" si="6"/>
        <v>447300.61302261293</v>
      </c>
      <c r="N31" s="29">
        <f t="shared" si="6"/>
        <v>447300.61302261293</v>
      </c>
      <c r="O31" s="29">
        <f t="shared" si="6"/>
        <v>447300.61302261293</v>
      </c>
      <c r="P31" s="29">
        <f t="shared" si="6"/>
        <v>447300.61302261293</v>
      </c>
      <c r="Q31" s="29">
        <f t="shared" si="6"/>
        <v>447300.61302261293</v>
      </c>
      <c r="R31" s="29">
        <f t="shared" si="6"/>
        <v>447300.61302261293</v>
      </c>
      <c r="S31" s="29">
        <f t="shared" si="6"/>
        <v>447300.61302261293</v>
      </c>
      <c r="T31" s="29">
        <f t="shared" si="6"/>
        <v>447300.61302261293</v>
      </c>
      <c r="U31" s="29">
        <f t="shared" si="6"/>
        <v>447300.61302261293</v>
      </c>
      <c r="V31" s="29">
        <f t="shared" si="6"/>
        <v>447300.61302261293</v>
      </c>
      <c r="W31" s="9">
        <f>SUM(C31:V31)</f>
        <v>7315316.0502219852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417480.57215443871</v>
      </c>
      <c r="D32" s="26">
        <f t="shared" ref="D32:E32" si="7">D23-D28-D29-D30-D31</f>
        <v>417480.57215443871</v>
      </c>
      <c r="E32" s="26">
        <f t="shared" si="7"/>
        <v>317662.82615443866</v>
      </c>
      <c r="F32" s="26">
        <f>F23-F28-F29-F30-F31</f>
        <v>267753.95315443864</v>
      </c>
      <c r="G32" s="26">
        <f t="shared" ref="G32:O32" si="8">G23-G28-G29-G30-G31</f>
        <v>260267.62220443864</v>
      </c>
      <c r="H32" s="26">
        <f t="shared" si="8"/>
        <v>304592.04622624337</v>
      </c>
      <c r="I32" s="26">
        <f t="shared" si="8"/>
        <v>870374.15306622186</v>
      </c>
      <c r="J32" s="26">
        <f t="shared" si="8"/>
        <v>861707.78920022817</v>
      </c>
      <c r="K32" s="26">
        <f t="shared" si="8"/>
        <v>852608.10714093479</v>
      </c>
      <c r="L32" s="26">
        <f t="shared" si="8"/>
        <v>843053.44097867655</v>
      </c>
      <c r="M32" s="26">
        <f t="shared" si="8"/>
        <v>833021.04150830559</v>
      </c>
      <c r="N32" s="26">
        <f t="shared" si="8"/>
        <v>822487.02206441597</v>
      </c>
      <c r="O32" s="26">
        <f t="shared" si="8"/>
        <v>811426.30164833181</v>
      </c>
      <c r="P32" s="26">
        <f>P23-P28-P29-P30-P31</f>
        <v>799812.54521144368</v>
      </c>
      <c r="Q32" s="26">
        <f t="shared" ref="Q32:V32" si="9">Q23-Q28-Q29-Q30-Q31</f>
        <v>787618.10095271096</v>
      </c>
      <c r="R32" s="26">
        <f t="shared" si="9"/>
        <v>774813.93448104174</v>
      </c>
      <c r="S32" s="26">
        <f t="shared" si="9"/>
        <v>761369.55968578905</v>
      </c>
      <c r="T32" s="26">
        <f t="shared" si="9"/>
        <v>747252.96615077346</v>
      </c>
      <c r="U32" s="26">
        <f t="shared" si="9"/>
        <v>732430.54293900728</v>
      </c>
      <c r="V32" s="26">
        <f t="shared" si="9"/>
        <v>716866.99856665288</v>
      </c>
      <c r="W32" s="9">
        <f>SUM(C32:V32)</f>
        <v>13200080.095642971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0"/>
  <sheetViews>
    <sheetView topLeftCell="A19" zoomScale="99" zoomScaleNormal="99" workbookViewId="0">
      <selection activeCell="B20" sqref="B20"/>
    </sheetView>
  </sheetViews>
  <sheetFormatPr defaultColWidth="8.85546875" defaultRowHeight="23.25" x14ac:dyDescent="0.5"/>
  <cols>
    <col min="1" max="1" width="53.7109375" style="46" bestFit="1" customWidth="1"/>
    <col min="2" max="2" width="15.7109375" style="46" customWidth="1"/>
    <col min="3" max="3" width="14.7109375" style="46" customWidth="1"/>
    <col min="4" max="4" width="14.5703125" style="46" customWidth="1"/>
    <col min="5" max="5" width="14.7109375" style="46" customWidth="1"/>
    <col min="6" max="19" width="14.85546875" style="46" bestFit="1" customWidth="1"/>
    <col min="20" max="22" width="14" style="46" customWidth="1"/>
    <col min="23" max="23" width="15.7109375" style="46" customWidth="1"/>
    <col min="24" max="16384" width="8.85546875" style="46"/>
  </cols>
  <sheetData>
    <row r="1" spans="1:22" x14ac:dyDescent="0.5">
      <c r="A1" s="99" t="s">
        <v>95</v>
      </c>
      <c r="B1" s="45"/>
      <c r="D1" s="47"/>
    </row>
    <row r="2" spans="1:22" x14ac:dyDescent="0.5">
      <c r="A2" s="48" t="s">
        <v>92</v>
      </c>
      <c r="B2" s="45" t="s">
        <v>93</v>
      </c>
      <c r="D2" s="47"/>
    </row>
    <row r="3" spans="1:22" x14ac:dyDescent="0.5">
      <c r="A3" s="48" t="s">
        <v>81</v>
      </c>
      <c r="B3" s="49">
        <v>604.44000000000005</v>
      </c>
      <c r="D3" s="47"/>
    </row>
    <row r="4" spans="1:22" x14ac:dyDescent="0.5">
      <c r="A4" s="48" t="s">
        <v>82</v>
      </c>
      <c r="B4" s="49">
        <v>459.54</v>
      </c>
      <c r="D4" s="47"/>
    </row>
    <row r="5" spans="1:22" x14ac:dyDescent="0.5">
      <c r="A5" s="48" t="s">
        <v>83</v>
      </c>
      <c r="B5" s="49">
        <v>341.55</v>
      </c>
      <c r="D5" s="47"/>
    </row>
    <row r="6" spans="1:22" x14ac:dyDescent="0.5">
      <c r="A6" s="48" t="s">
        <v>84</v>
      </c>
      <c r="B6" s="49">
        <v>408.48</v>
      </c>
      <c r="D6" s="47"/>
    </row>
    <row r="7" spans="1:22" x14ac:dyDescent="0.5">
      <c r="A7" s="48" t="s">
        <v>85</v>
      </c>
      <c r="B7" s="49">
        <v>110.4</v>
      </c>
      <c r="D7" s="47"/>
    </row>
    <row r="8" spans="1:22" x14ac:dyDescent="0.5">
      <c r="A8" s="48" t="s">
        <v>86</v>
      </c>
      <c r="B8" s="49">
        <v>408.48</v>
      </c>
      <c r="D8" s="47"/>
    </row>
    <row r="9" spans="1:22" x14ac:dyDescent="0.5">
      <c r="A9" s="48" t="s">
        <v>87</v>
      </c>
      <c r="B9" s="49">
        <v>139.38</v>
      </c>
      <c r="D9" s="47"/>
    </row>
    <row r="10" spans="1:22" x14ac:dyDescent="0.5">
      <c r="A10" s="48" t="s">
        <v>88</v>
      </c>
      <c r="B10" s="49">
        <v>350.52</v>
      </c>
      <c r="D10" s="47"/>
    </row>
    <row r="11" spans="1:22" x14ac:dyDescent="0.5">
      <c r="A11" s="48" t="s">
        <v>89</v>
      </c>
      <c r="B11" s="49">
        <v>999.8</v>
      </c>
      <c r="D11" s="47"/>
    </row>
    <row r="12" spans="1:22" x14ac:dyDescent="0.5">
      <c r="A12" s="48" t="s">
        <v>90</v>
      </c>
      <c r="B12" s="49">
        <v>149.04</v>
      </c>
      <c r="D12" s="47"/>
    </row>
    <row r="13" spans="1:22" x14ac:dyDescent="0.5">
      <c r="A13" s="48" t="s">
        <v>91</v>
      </c>
      <c r="B13" s="49">
        <v>536.05999999999995</v>
      </c>
      <c r="D13" s="47"/>
    </row>
    <row r="14" spans="1:22" x14ac:dyDescent="0.5">
      <c r="A14" s="50" t="s">
        <v>94</v>
      </c>
      <c r="B14" s="51">
        <f>SUM(B3:B13)</f>
        <v>4507.6900000000005</v>
      </c>
      <c r="D14" s="47"/>
    </row>
    <row r="15" spans="1:22" x14ac:dyDescent="0.5">
      <c r="A15" s="52"/>
      <c r="B15" s="53"/>
      <c r="D15" s="47"/>
    </row>
    <row r="16" spans="1:22" ht="26.25" x14ac:dyDescent="0.55000000000000004">
      <c r="A16" s="101" t="s">
        <v>26</v>
      </c>
      <c r="B16" s="54"/>
      <c r="C16" s="54"/>
      <c r="D16" s="55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x14ac:dyDescent="0.5">
      <c r="A17" s="52"/>
      <c r="B17" s="53"/>
      <c r="D17" s="47"/>
    </row>
    <row r="18" spans="1:22" x14ac:dyDescent="0.5">
      <c r="A18" s="56" t="s">
        <v>96</v>
      </c>
      <c r="B18" s="53"/>
      <c r="D18" s="47"/>
    </row>
    <row r="19" spans="1:22" x14ac:dyDescent="0.5">
      <c r="A19" s="47" t="s">
        <v>40</v>
      </c>
      <c r="B19" s="57">
        <f>B14*5</f>
        <v>22538.450000000004</v>
      </c>
      <c r="C19" s="47" t="s">
        <v>100</v>
      </c>
      <c r="D19" s="47"/>
    </row>
    <row r="20" spans="1:22" x14ac:dyDescent="0.5">
      <c r="A20" s="58" t="s">
        <v>41</v>
      </c>
      <c r="B20" s="57"/>
      <c r="C20" s="47"/>
      <c r="D20" s="47"/>
    </row>
    <row r="21" spans="1:22" x14ac:dyDescent="0.5">
      <c r="A21" s="59" t="s">
        <v>42</v>
      </c>
      <c r="B21" s="57"/>
      <c r="C21" s="47"/>
      <c r="D21" s="47"/>
    </row>
    <row r="22" spans="1:22" x14ac:dyDescent="0.5">
      <c r="A22" s="60" t="s">
        <v>44</v>
      </c>
      <c r="B22" s="60">
        <v>246</v>
      </c>
      <c r="C22" s="47" t="s">
        <v>0</v>
      </c>
      <c r="D22" s="47" t="s">
        <v>1</v>
      </c>
      <c r="F22" s="61">
        <f>3.3471*1.07</f>
        <v>3.5813970000000004</v>
      </c>
      <c r="G22" s="46" t="s">
        <v>33</v>
      </c>
    </row>
    <row r="23" spans="1:22" x14ac:dyDescent="0.5">
      <c r="A23" s="59" t="s">
        <v>43</v>
      </c>
      <c r="B23" s="60"/>
      <c r="C23" s="47"/>
      <c r="D23" s="47"/>
    </row>
    <row r="24" spans="1:22" x14ac:dyDescent="0.5">
      <c r="A24" s="60" t="s">
        <v>44</v>
      </c>
      <c r="B24" s="60">
        <v>119</v>
      </c>
      <c r="C24" s="47" t="s">
        <v>0</v>
      </c>
      <c r="D24" s="47" t="s">
        <v>1</v>
      </c>
      <c r="F24" s="61">
        <f>2.0803*1.07</f>
        <v>2.225921</v>
      </c>
      <c r="G24" s="46" t="s">
        <v>33</v>
      </c>
    </row>
    <row r="25" spans="1:22" ht="22.15" customHeight="1" x14ac:dyDescent="0.5">
      <c r="A25" s="62" t="s">
        <v>38</v>
      </c>
      <c r="B25" s="60">
        <v>130000000</v>
      </c>
      <c r="C25" s="47" t="s">
        <v>33</v>
      </c>
      <c r="D25" s="47"/>
      <c r="F25" s="63"/>
    </row>
    <row r="26" spans="1:22" ht="22.15" customHeight="1" x14ac:dyDescent="0.5">
      <c r="A26" s="62"/>
      <c r="B26" s="60"/>
      <c r="C26" s="47"/>
      <c r="D26" s="47"/>
      <c r="F26" s="63"/>
    </row>
    <row r="27" spans="1:22" ht="22.15" customHeight="1" x14ac:dyDescent="0.5">
      <c r="A27" s="62"/>
      <c r="B27" s="60"/>
      <c r="C27" s="47"/>
      <c r="D27" s="47"/>
      <c r="F27" s="63"/>
    </row>
    <row r="28" spans="1:22" ht="26.45" customHeight="1" x14ac:dyDescent="0.5">
      <c r="A28" s="62"/>
      <c r="B28" s="60"/>
      <c r="C28" s="47"/>
      <c r="D28" s="47"/>
      <c r="F28" s="63"/>
    </row>
    <row r="29" spans="1:22" ht="26.45" customHeight="1" x14ac:dyDescent="0.5">
      <c r="A29" s="100" t="s">
        <v>25</v>
      </c>
      <c r="B29" s="64"/>
      <c r="C29" s="55"/>
      <c r="D29" s="55"/>
      <c r="E29" s="54"/>
      <c r="F29" s="65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</row>
    <row r="30" spans="1:22" x14ac:dyDescent="0.5">
      <c r="A30" s="66" t="s">
        <v>97</v>
      </c>
      <c r="B30" s="66"/>
      <c r="D30" s="47"/>
    </row>
    <row r="31" spans="1:22" x14ac:dyDescent="0.5">
      <c r="A31" s="67" t="s">
        <v>98</v>
      </c>
      <c r="B31" s="66"/>
      <c r="D31" s="47"/>
    </row>
    <row r="32" spans="1:22" x14ac:dyDescent="0.5">
      <c r="A32" s="67" t="s">
        <v>81</v>
      </c>
      <c r="B32" s="68">
        <v>20358669.5</v>
      </c>
      <c r="D32" s="47"/>
    </row>
    <row r="33" spans="1:6" x14ac:dyDescent="0.5">
      <c r="A33" s="67" t="s">
        <v>82</v>
      </c>
      <c r="B33" s="68">
        <v>12814707</v>
      </c>
      <c r="D33" s="47"/>
    </row>
    <row r="34" spans="1:6" x14ac:dyDescent="0.5">
      <c r="A34" s="67" t="s">
        <v>83</v>
      </c>
      <c r="B34" s="68">
        <v>10038585</v>
      </c>
      <c r="D34" s="47"/>
    </row>
    <row r="35" spans="1:6" x14ac:dyDescent="0.5">
      <c r="A35" s="67" t="s">
        <v>84</v>
      </c>
      <c r="B35" s="68">
        <v>12863054</v>
      </c>
      <c r="D35" s="47"/>
    </row>
    <row r="36" spans="1:6" x14ac:dyDescent="0.5">
      <c r="A36" s="67" t="s">
        <v>85</v>
      </c>
      <c r="B36" s="68">
        <v>2838910</v>
      </c>
      <c r="D36" s="47"/>
    </row>
    <row r="37" spans="1:6" x14ac:dyDescent="0.5">
      <c r="A37" s="67" t="s">
        <v>86</v>
      </c>
      <c r="B37" s="68">
        <v>12863054</v>
      </c>
      <c r="D37" s="47"/>
    </row>
    <row r="38" spans="1:6" x14ac:dyDescent="0.5">
      <c r="A38" s="67" t="s">
        <v>87</v>
      </c>
      <c r="B38" s="68">
        <v>3368224</v>
      </c>
      <c r="D38" s="47"/>
    </row>
    <row r="39" spans="1:6" x14ac:dyDescent="0.5">
      <c r="A39" s="67" t="s">
        <v>88</v>
      </c>
      <c r="B39" s="68">
        <v>10695206</v>
      </c>
      <c r="D39" s="47"/>
    </row>
    <row r="40" spans="1:6" x14ac:dyDescent="0.5">
      <c r="A40" s="67" t="s">
        <v>89</v>
      </c>
      <c r="B40" s="68">
        <v>27167510</v>
      </c>
      <c r="D40" s="47"/>
    </row>
    <row r="41" spans="1:6" x14ac:dyDescent="0.5">
      <c r="A41" s="67" t="s">
        <v>90</v>
      </c>
      <c r="B41" s="68">
        <v>3087232</v>
      </c>
      <c r="D41" s="47"/>
    </row>
    <row r="42" spans="1:6" x14ac:dyDescent="0.5">
      <c r="A42" s="67" t="s">
        <v>91</v>
      </c>
      <c r="B42" s="68">
        <v>14259678</v>
      </c>
      <c r="D42" s="47"/>
    </row>
    <row r="43" spans="1:6" x14ac:dyDescent="0.5">
      <c r="A43" s="69" t="s">
        <v>94</v>
      </c>
      <c r="B43" s="70">
        <f>SUM(B32:B42)</f>
        <v>130354829.5</v>
      </c>
      <c r="D43" s="47"/>
    </row>
    <row r="44" spans="1:6" ht="33" customHeight="1" x14ac:dyDescent="0.5">
      <c r="A44" s="52"/>
      <c r="B44" s="53"/>
      <c r="D44" s="47"/>
    </row>
    <row r="45" spans="1:6" ht="26.45" customHeight="1" x14ac:dyDescent="0.5">
      <c r="A45" s="47" t="s">
        <v>99</v>
      </c>
      <c r="B45" s="60">
        <v>130000000</v>
      </c>
      <c r="C45" s="47" t="s">
        <v>33</v>
      </c>
      <c r="D45" s="47"/>
      <c r="F45" s="63"/>
    </row>
    <row r="46" spans="1:6" ht="26.45" customHeight="1" x14ac:dyDescent="0.5">
      <c r="A46" s="47" t="s">
        <v>39</v>
      </c>
      <c r="B46" s="60">
        <v>20000000</v>
      </c>
      <c r="C46" s="47" t="s">
        <v>33</v>
      </c>
      <c r="D46" s="47"/>
      <c r="F46" s="63"/>
    </row>
    <row r="47" spans="1:6" ht="22.9" customHeight="1" x14ac:dyDescent="0.5">
      <c r="A47" s="47" t="s">
        <v>57</v>
      </c>
      <c r="B47" s="60">
        <v>300000</v>
      </c>
      <c r="C47" s="47" t="s">
        <v>45</v>
      </c>
      <c r="D47" s="47"/>
      <c r="F47" s="63"/>
    </row>
    <row r="48" spans="1:6" ht="21" customHeight="1" x14ac:dyDescent="0.5">
      <c r="A48" s="47" t="s">
        <v>48</v>
      </c>
      <c r="B48" s="71">
        <v>0.01</v>
      </c>
      <c r="C48" s="47" t="s">
        <v>47</v>
      </c>
      <c r="D48" s="47"/>
      <c r="F48" s="63"/>
    </row>
    <row r="49" spans="1:23" x14ac:dyDescent="0.5">
      <c r="A49" s="60" t="s">
        <v>49</v>
      </c>
      <c r="B49" s="71">
        <v>0.2</v>
      </c>
      <c r="C49" s="47" t="s">
        <v>50</v>
      </c>
      <c r="D49" s="47"/>
      <c r="F49" s="63"/>
    </row>
    <row r="50" spans="1:23" x14ac:dyDescent="0.5">
      <c r="A50" s="60"/>
      <c r="B50" s="71"/>
      <c r="C50" s="47"/>
      <c r="D50" s="47"/>
      <c r="F50" s="63"/>
    </row>
    <row r="52" spans="1:23" s="72" customFormat="1" x14ac:dyDescent="0.5">
      <c r="A52" s="72" t="s">
        <v>3</v>
      </c>
      <c r="B52" s="72" t="s">
        <v>4</v>
      </c>
      <c r="C52" s="72" t="s">
        <v>5</v>
      </c>
      <c r="D52" s="72" t="s">
        <v>6</v>
      </c>
      <c r="E52" s="72" t="s">
        <v>7</v>
      </c>
      <c r="F52" s="72" t="s">
        <v>8</v>
      </c>
      <c r="G52" s="72" t="s">
        <v>9</v>
      </c>
      <c r="H52" s="72" t="s">
        <v>10</v>
      </c>
      <c r="I52" s="72" t="s">
        <v>11</v>
      </c>
      <c r="J52" s="72" t="s">
        <v>12</v>
      </c>
      <c r="K52" s="72" t="s">
        <v>13</v>
      </c>
      <c r="L52" s="72" t="s">
        <v>14</v>
      </c>
      <c r="M52" s="72" t="s">
        <v>15</v>
      </c>
      <c r="N52" s="72" t="s">
        <v>16</v>
      </c>
      <c r="O52" s="72" t="s">
        <v>17</v>
      </c>
      <c r="P52" s="72" t="s">
        <v>18</v>
      </c>
      <c r="Q52" s="72" t="s">
        <v>19</v>
      </c>
      <c r="R52" s="72" t="s">
        <v>20</v>
      </c>
      <c r="S52" s="72" t="s">
        <v>21</v>
      </c>
      <c r="T52" s="72" t="s">
        <v>22</v>
      </c>
      <c r="U52" s="72" t="s">
        <v>23</v>
      </c>
      <c r="V52" s="72" t="s">
        <v>24</v>
      </c>
    </row>
    <row r="53" spans="1:23" x14ac:dyDescent="0.5">
      <c r="A53" s="97" t="s">
        <v>26</v>
      </c>
    </row>
    <row r="54" spans="1:23" x14ac:dyDescent="0.5">
      <c r="A54" s="73" t="s">
        <v>54</v>
      </c>
      <c r="B54" s="74">
        <v>0</v>
      </c>
      <c r="C54" s="74">
        <f>((($B$19*$B$22*$F$22)-((($B$19*$B$22*$F$22)*10%))+((($B$19*$B$24)*$F$24)+((($B$19*$B$22)*$F$24)*10%))))</f>
        <v>25075457.97505134</v>
      </c>
      <c r="D54" s="74">
        <f t="shared" ref="D54:V54" si="0">((($B$19*$B$22*$F$22)-((($B$19*$B$22*$F$22)*10%))+((($B$19*$B$24)*$F$24)+((($B$19*$B$22)*$F$24)*10%))))</f>
        <v>25075457.97505134</v>
      </c>
      <c r="E54" s="74">
        <f t="shared" si="0"/>
        <v>25075457.97505134</v>
      </c>
      <c r="F54" s="74">
        <f t="shared" si="0"/>
        <v>25075457.97505134</v>
      </c>
      <c r="G54" s="74">
        <f t="shared" si="0"/>
        <v>25075457.97505134</v>
      </c>
      <c r="H54" s="74">
        <f t="shared" si="0"/>
        <v>25075457.97505134</v>
      </c>
      <c r="I54" s="74">
        <f t="shared" si="0"/>
        <v>25075457.97505134</v>
      </c>
      <c r="J54" s="74">
        <f t="shared" si="0"/>
        <v>25075457.97505134</v>
      </c>
      <c r="K54" s="74">
        <f t="shared" si="0"/>
        <v>25075457.97505134</v>
      </c>
      <c r="L54" s="74">
        <f t="shared" si="0"/>
        <v>25075457.97505134</v>
      </c>
      <c r="M54" s="74">
        <f t="shared" si="0"/>
        <v>25075457.97505134</v>
      </c>
      <c r="N54" s="74">
        <f t="shared" si="0"/>
        <v>25075457.97505134</v>
      </c>
      <c r="O54" s="74">
        <f t="shared" si="0"/>
        <v>25075457.97505134</v>
      </c>
      <c r="P54" s="74">
        <f t="shared" si="0"/>
        <v>25075457.97505134</v>
      </c>
      <c r="Q54" s="74">
        <f t="shared" si="0"/>
        <v>25075457.97505134</v>
      </c>
      <c r="R54" s="74">
        <f t="shared" si="0"/>
        <v>25075457.97505134</v>
      </c>
      <c r="S54" s="74">
        <f t="shared" si="0"/>
        <v>25075457.97505134</v>
      </c>
      <c r="T54" s="74">
        <f t="shared" si="0"/>
        <v>25075457.97505134</v>
      </c>
      <c r="U54" s="74">
        <f t="shared" si="0"/>
        <v>25075457.97505134</v>
      </c>
      <c r="V54" s="74">
        <f t="shared" si="0"/>
        <v>25075457.97505134</v>
      </c>
      <c r="W54" s="75">
        <f>SUM(B54:V54)</f>
        <v>501509159.50102681</v>
      </c>
    </row>
    <row r="55" spans="1:23" s="72" customFormat="1" x14ac:dyDescent="0.5">
      <c r="A55" s="73" t="s">
        <v>29</v>
      </c>
      <c r="B55" s="74">
        <v>130000000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76">
        <v>0</v>
      </c>
      <c r="Q55" s="76">
        <v>0</v>
      </c>
      <c r="R55" s="76">
        <v>0</v>
      </c>
      <c r="S55" s="76">
        <v>0</v>
      </c>
      <c r="T55" s="76">
        <v>0</v>
      </c>
      <c r="U55" s="76">
        <v>0</v>
      </c>
      <c r="V55" s="76">
        <v>0</v>
      </c>
      <c r="W55" s="75">
        <f t="shared" ref="W55:W57" si="1">SUM(B55:V55)</f>
        <v>130000000</v>
      </c>
    </row>
    <row r="56" spans="1:23" s="72" customFormat="1" ht="12.6" customHeight="1" x14ac:dyDescent="0.5">
      <c r="A56" s="73"/>
      <c r="B56" s="74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5"/>
    </row>
    <row r="57" spans="1:23" x14ac:dyDescent="0.5">
      <c r="A57" s="97" t="s">
        <v>25</v>
      </c>
      <c r="W57" s="75">
        <f t="shared" si="1"/>
        <v>0</v>
      </c>
    </row>
    <row r="58" spans="1:23" s="73" customFormat="1" x14ac:dyDescent="0.5">
      <c r="A58" s="73" t="s">
        <v>51</v>
      </c>
      <c r="B58" s="77">
        <f>B55</f>
        <v>130000000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76">
        <v>0</v>
      </c>
      <c r="N58" s="76">
        <v>0</v>
      </c>
      <c r="O58" s="76">
        <v>0</v>
      </c>
      <c r="P58" s="76">
        <v>0</v>
      </c>
      <c r="Q58" s="76">
        <v>0</v>
      </c>
      <c r="R58" s="76">
        <v>0</v>
      </c>
      <c r="S58" s="76">
        <v>0</v>
      </c>
      <c r="T58" s="76">
        <v>0</v>
      </c>
      <c r="U58" s="76">
        <v>0</v>
      </c>
      <c r="V58" s="76">
        <v>0</v>
      </c>
      <c r="W58" s="75">
        <f>SUM(C58:V58)</f>
        <v>0</v>
      </c>
    </row>
    <row r="59" spans="1:23" s="73" customFormat="1" x14ac:dyDescent="0.5">
      <c r="A59" s="73" t="s">
        <v>101</v>
      </c>
      <c r="B59" s="77">
        <v>20000000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6">
        <v>0</v>
      </c>
      <c r="V59" s="76">
        <v>0</v>
      </c>
      <c r="W59" s="75">
        <f>SUM(B59:V59)</f>
        <v>20000000</v>
      </c>
    </row>
    <row r="60" spans="1:23" s="73" customFormat="1" x14ac:dyDescent="0.5">
      <c r="A60" s="73" t="s">
        <v>55</v>
      </c>
      <c r="B60" s="78">
        <f>300000*12</f>
        <v>3600000</v>
      </c>
      <c r="C60" s="78">
        <f>300000*12</f>
        <v>3600000</v>
      </c>
      <c r="D60" s="78">
        <f>C60*1.05</f>
        <v>3780000</v>
      </c>
      <c r="E60" s="78">
        <f t="shared" ref="E60:V60" si="2">D60*1.05</f>
        <v>3969000</v>
      </c>
      <c r="F60" s="78">
        <f t="shared" si="2"/>
        <v>4167450</v>
      </c>
      <c r="G60" s="78">
        <f t="shared" si="2"/>
        <v>4375822.5</v>
      </c>
      <c r="H60" s="78">
        <f t="shared" si="2"/>
        <v>4594613.625</v>
      </c>
      <c r="I60" s="78">
        <f t="shared" si="2"/>
        <v>4824344.3062500004</v>
      </c>
      <c r="J60" s="78">
        <f t="shared" si="2"/>
        <v>5065561.5215625009</v>
      </c>
      <c r="K60" s="78">
        <f t="shared" si="2"/>
        <v>5318839.5976406261</v>
      </c>
      <c r="L60" s="78">
        <f t="shared" si="2"/>
        <v>5584781.5775226578</v>
      </c>
      <c r="M60" s="78">
        <f t="shared" si="2"/>
        <v>5864020.6563987909</v>
      </c>
      <c r="N60" s="78">
        <f t="shared" si="2"/>
        <v>6157221.6892187307</v>
      </c>
      <c r="O60" s="78">
        <f t="shared" si="2"/>
        <v>6465082.7736796672</v>
      </c>
      <c r="P60" s="78">
        <f t="shared" si="2"/>
        <v>6788336.9123636512</v>
      </c>
      <c r="Q60" s="78">
        <f t="shared" si="2"/>
        <v>7127753.757981834</v>
      </c>
      <c r="R60" s="78">
        <f t="shared" si="2"/>
        <v>7484141.4458809262</v>
      </c>
      <c r="S60" s="78">
        <f t="shared" si="2"/>
        <v>7858348.5181749733</v>
      </c>
      <c r="T60" s="78">
        <f t="shared" si="2"/>
        <v>8251265.9440837223</v>
      </c>
      <c r="U60" s="78">
        <f t="shared" si="2"/>
        <v>8663829.2412879094</v>
      </c>
      <c r="V60" s="78">
        <f t="shared" si="2"/>
        <v>9097020.703352306</v>
      </c>
      <c r="W60" s="75">
        <f>SUM(C60:V60)</f>
        <v>119037434.77039829</v>
      </c>
    </row>
    <row r="61" spans="1:23" s="98" customFormat="1" x14ac:dyDescent="0.5">
      <c r="A61" s="98" t="s">
        <v>53</v>
      </c>
      <c r="B61" s="102">
        <v>-130000000</v>
      </c>
      <c r="C61" s="77">
        <f>C54*0.8</f>
        <v>20060366.380041074</v>
      </c>
      <c r="D61" s="77">
        <f t="shared" ref="D61:G61" si="3">D54*0.8</f>
        <v>20060366.380041074</v>
      </c>
      <c r="E61" s="77">
        <f t="shared" si="3"/>
        <v>20060366.380041074</v>
      </c>
      <c r="F61" s="77">
        <f t="shared" si="3"/>
        <v>20060366.380041074</v>
      </c>
      <c r="G61" s="77">
        <f t="shared" si="3"/>
        <v>20060366.380041074</v>
      </c>
      <c r="H61" s="77">
        <f>(H54*0.8*11/12)+(H54*0.5*1/12)</f>
        <v>19433479.930664789</v>
      </c>
      <c r="I61" s="77">
        <f>I54*0.5</f>
        <v>12537728.98752567</v>
      </c>
      <c r="J61" s="77">
        <f t="shared" ref="J61:V61" si="4">J54*0.5</f>
        <v>12537728.98752567</v>
      </c>
      <c r="K61" s="77">
        <f t="shared" si="4"/>
        <v>12537728.98752567</v>
      </c>
      <c r="L61" s="77">
        <f t="shared" si="4"/>
        <v>12537728.98752567</v>
      </c>
      <c r="M61" s="77">
        <f t="shared" si="4"/>
        <v>12537728.98752567</v>
      </c>
      <c r="N61" s="77">
        <f t="shared" si="4"/>
        <v>12537728.98752567</v>
      </c>
      <c r="O61" s="77">
        <f t="shared" si="4"/>
        <v>12537728.98752567</v>
      </c>
      <c r="P61" s="77">
        <f t="shared" si="4"/>
        <v>12537728.98752567</v>
      </c>
      <c r="Q61" s="77">
        <f t="shared" si="4"/>
        <v>12537728.98752567</v>
      </c>
      <c r="R61" s="77">
        <f t="shared" si="4"/>
        <v>12537728.98752567</v>
      </c>
      <c r="S61" s="77">
        <f t="shared" si="4"/>
        <v>12537728.98752567</v>
      </c>
      <c r="T61" s="77">
        <f t="shared" si="4"/>
        <v>12537728.98752567</v>
      </c>
      <c r="U61" s="77">
        <f t="shared" si="4"/>
        <v>12537728.98752567</v>
      </c>
      <c r="V61" s="77">
        <f t="shared" si="4"/>
        <v>12537728.98752567</v>
      </c>
      <c r="W61" s="75">
        <f>SUM(B61:V61)</f>
        <v>165263517.65622956</v>
      </c>
    </row>
    <row r="62" spans="1:23" s="73" customFormat="1" x14ac:dyDescent="0.5">
      <c r="A62" s="73" t="s">
        <v>102</v>
      </c>
      <c r="B62" s="77">
        <v>0</v>
      </c>
      <c r="C62" s="76">
        <v>0</v>
      </c>
      <c r="D62" s="76">
        <v>0</v>
      </c>
      <c r="E62" s="79">
        <f>B55*1/100</f>
        <v>1300000</v>
      </c>
      <c r="F62" s="79">
        <f>E62*1.05</f>
        <v>1365000</v>
      </c>
      <c r="G62" s="79">
        <f t="shared" ref="G62:V62" si="5">F62*1.05</f>
        <v>1433250</v>
      </c>
      <c r="H62" s="79">
        <f t="shared" si="5"/>
        <v>1504912.5</v>
      </c>
      <c r="I62" s="79">
        <f t="shared" si="5"/>
        <v>1580158.125</v>
      </c>
      <c r="J62" s="79">
        <f t="shared" si="5"/>
        <v>1659166.03125</v>
      </c>
      <c r="K62" s="79">
        <f t="shared" si="5"/>
        <v>1742124.3328125002</v>
      </c>
      <c r="L62" s="79">
        <f t="shared" si="5"/>
        <v>1829230.5494531253</v>
      </c>
      <c r="M62" s="79">
        <f t="shared" si="5"/>
        <v>1920692.0769257818</v>
      </c>
      <c r="N62" s="79">
        <f t="shared" si="5"/>
        <v>2016726.680772071</v>
      </c>
      <c r="O62" s="79">
        <f t="shared" si="5"/>
        <v>2117563.0148106748</v>
      </c>
      <c r="P62" s="79">
        <f t="shared" si="5"/>
        <v>2223441.1655512089</v>
      </c>
      <c r="Q62" s="79">
        <f t="shared" si="5"/>
        <v>2334613.2238287693</v>
      </c>
      <c r="R62" s="79">
        <f t="shared" si="5"/>
        <v>2451343.8850202081</v>
      </c>
      <c r="S62" s="79">
        <f t="shared" si="5"/>
        <v>2573911.0792712187</v>
      </c>
      <c r="T62" s="79">
        <f t="shared" si="5"/>
        <v>2702606.6332347798</v>
      </c>
      <c r="U62" s="79">
        <f t="shared" si="5"/>
        <v>2837736.9648965187</v>
      </c>
      <c r="V62" s="79">
        <f t="shared" si="5"/>
        <v>2979623.8131413446</v>
      </c>
      <c r="W62" s="75">
        <f>SUM(C62:V62)</f>
        <v>36572100.075968206</v>
      </c>
    </row>
    <row r="63" spans="1:23" s="80" customFormat="1" x14ac:dyDescent="0.5">
      <c r="A63" s="80" t="s">
        <v>34</v>
      </c>
      <c r="B63" s="81">
        <v>0</v>
      </c>
      <c r="C63" s="81">
        <f>(C54-C60-C61)*0.2</f>
        <v>283018.31900205318</v>
      </c>
      <c r="D63" s="81">
        <f t="shared" ref="D63:V63" si="6">(D54-D60-D61)*0.2</f>
        <v>247018.31900205315</v>
      </c>
      <c r="E63" s="81">
        <f t="shared" si="6"/>
        <v>209218.31900205315</v>
      </c>
      <c r="F63" s="81">
        <f t="shared" si="6"/>
        <v>169528.31900205315</v>
      </c>
      <c r="G63" s="81">
        <f t="shared" si="6"/>
        <v>127853.81900205315</v>
      </c>
      <c r="H63" s="81">
        <f t="shared" si="6"/>
        <v>209472.88387731017</v>
      </c>
      <c r="I63" s="81">
        <f t="shared" si="6"/>
        <v>1542676.9362551337</v>
      </c>
      <c r="J63" s="81">
        <f t="shared" si="6"/>
        <v>1494433.4931926336</v>
      </c>
      <c r="K63" s="81">
        <f t="shared" si="6"/>
        <v>1443777.8779770089</v>
      </c>
      <c r="L63" s="81">
        <f t="shared" si="6"/>
        <v>1390589.4820006024</v>
      </c>
      <c r="M63" s="81">
        <f t="shared" si="6"/>
        <v>1334741.6662253756</v>
      </c>
      <c r="N63" s="81">
        <f t="shared" si="6"/>
        <v>1276101.4596613881</v>
      </c>
      <c r="O63" s="81">
        <f t="shared" si="6"/>
        <v>1214529.2427692008</v>
      </c>
      <c r="P63" s="81">
        <f t="shared" si="6"/>
        <v>1149878.4150324035</v>
      </c>
      <c r="Q63" s="81">
        <f t="shared" si="6"/>
        <v>1081995.0459087675</v>
      </c>
      <c r="R63" s="81">
        <f t="shared" si="6"/>
        <v>1010717.5083289486</v>
      </c>
      <c r="S63" s="81">
        <f t="shared" si="6"/>
        <v>935876.09387013956</v>
      </c>
      <c r="T63" s="81">
        <f t="shared" si="6"/>
        <v>857292.60868838918</v>
      </c>
      <c r="U63" s="81">
        <f t="shared" si="6"/>
        <v>774779.94924755208</v>
      </c>
      <c r="V63" s="81">
        <f t="shared" si="6"/>
        <v>688141.65683467279</v>
      </c>
      <c r="W63" s="75">
        <f>SUM(C63:V63)</f>
        <v>17441641.414879791</v>
      </c>
    </row>
    <row r="64" spans="1:23" s="73" customFormat="1" x14ac:dyDescent="0.5">
      <c r="A64" s="82" t="s">
        <v>103</v>
      </c>
      <c r="B64" s="83">
        <f>B54+B55-B58-B59-B60-B62-B63</f>
        <v>-23600000</v>
      </c>
      <c r="C64" s="83">
        <f>C54-C60-C61-C62-C63</f>
        <v>1132073.2760082125</v>
      </c>
      <c r="D64" s="83">
        <f>D54-D60-D61-D62-D63</f>
        <v>988073.27600821259</v>
      </c>
      <c r="E64" s="83">
        <f t="shared" ref="E64" si="7">E54-E60-E61-E62-E63</f>
        <v>-463126.72399178741</v>
      </c>
      <c r="F64" s="83">
        <f>F54-F60-F61-F62-F63</f>
        <v>-686886.72399178741</v>
      </c>
      <c r="G64" s="83">
        <f t="shared" ref="G64" si="8">G54-G60-G61-G62-G63</f>
        <v>-921834.72399178741</v>
      </c>
      <c r="H64" s="83">
        <f t="shared" ref="H64" si="9">H54-H60-H61-H62-H63</f>
        <v>-667020.96449075942</v>
      </c>
      <c r="I64" s="83">
        <f t="shared" ref="I64" si="10">I54-I60-I61-I62-I63</f>
        <v>4590549.6200205339</v>
      </c>
      <c r="J64" s="83">
        <f t="shared" ref="J64" si="11">J54-J60-J61-J62-J63</f>
        <v>4318567.9415205345</v>
      </c>
      <c r="K64" s="83">
        <f t="shared" ref="K64" si="12">K54-K60-K61-K62-K63</f>
        <v>4032987.1790955346</v>
      </c>
      <c r="L64" s="83">
        <f t="shared" ref="L64" si="13">L54-L60-L61-L62-L63</f>
        <v>3733127.3785492843</v>
      </c>
      <c r="M64" s="83">
        <f t="shared" ref="M64" si="14">M54-M60-M61-M62-M63</f>
        <v>3418274.5879757209</v>
      </c>
      <c r="N64" s="83">
        <f t="shared" ref="N64" si="15">N54-N60-N61-N62-N63</f>
        <v>3087679.1578734815</v>
      </c>
      <c r="O64" s="83">
        <f t="shared" ref="O64" si="16">O54-O60-O61-O62-O63</f>
        <v>2740553.956266128</v>
      </c>
      <c r="P64" s="83">
        <f>P54-P60-P61-P62-P63</f>
        <v>2376072.4945784053</v>
      </c>
      <c r="Q64" s="83">
        <f t="shared" ref="Q64" si="17">Q54-Q60-Q61-Q62-Q63</f>
        <v>1993366.9598063</v>
      </c>
      <c r="R64" s="83">
        <f t="shared" ref="R64" si="18">R54-R60-R61-R62-R63</f>
        <v>1591526.148295586</v>
      </c>
      <c r="S64" s="83">
        <f t="shared" ref="S64" si="19">S54-S60-S61-S62-S63</f>
        <v>1169593.2962093391</v>
      </c>
      <c r="T64" s="83">
        <f t="shared" ref="T64" si="20">T54-T60-T61-T62-T63</f>
        <v>726563.80151877669</v>
      </c>
      <c r="U64" s="83">
        <f t="shared" ref="U64" si="21">U54-U60-U61-U62-U63</f>
        <v>261382.83209368959</v>
      </c>
      <c r="V64" s="83">
        <f t="shared" ref="V64" si="22">V54-V60-V61-V62-V63</f>
        <v>-227057.18580265355</v>
      </c>
      <c r="W64" s="75">
        <f>SUM(C64:V64)</f>
        <v>33194465.583550964</v>
      </c>
    </row>
    <row r="65" spans="1:22" s="84" customFormat="1" x14ac:dyDescent="0.5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</row>
    <row r="66" spans="1:22" s="84" customFormat="1" x14ac:dyDescent="0.5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</row>
    <row r="67" spans="1:22" s="84" customFormat="1" x14ac:dyDescent="0.5"/>
    <row r="68" spans="1:22" s="88" customFormat="1" x14ac:dyDescent="0.5">
      <c r="A68" s="86" t="s">
        <v>56</v>
      </c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</row>
    <row r="69" spans="1:22" x14ac:dyDescent="0.5">
      <c r="A69" s="89" t="s">
        <v>35</v>
      </c>
      <c r="B69" s="90">
        <f>NPV(0.05,B61:V61)</f>
        <v>60916775.693293497</v>
      </c>
      <c r="C69" s="91"/>
    </row>
    <row r="70" spans="1:22" x14ac:dyDescent="0.5">
      <c r="A70" s="89" t="s">
        <v>27</v>
      </c>
      <c r="B70" s="92">
        <f>IRR(B61:V61,0.05)</f>
        <v>0.11180911674990202</v>
      </c>
    </row>
    <row r="71" spans="1:22" x14ac:dyDescent="0.5">
      <c r="A71" s="89" t="s">
        <v>31</v>
      </c>
      <c r="B71" s="93">
        <v>5.92</v>
      </c>
      <c r="C71" s="94"/>
      <c r="E71" s="46" t="s">
        <v>32</v>
      </c>
    </row>
    <row r="72" spans="1:22" x14ac:dyDescent="0.5">
      <c r="A72" s="86"/>
      <c r="B72" s="46" t="s">
        <v>32</v>
      </c>
    </row>
    <row r="73" spans="1:22" s="84" customFormat="1" x14ac:dyDescent="0.5">
      <c r="C73" s="95"/>
    </row>
    <row r="74" spans="1:22" s="88" customFormat="1" x14ac:dyDescent="0.5">
      <c r="B74" s="87"/>
      <c r="C74" s="96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</row>
    <row r="75" spans="1:22" s="88" customFormat="1" x14ac:dyDescent="0.5"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</row>
    <row r="76" spans="1:22" s="88" customFormat="1" x14ac:dyDescent="0.5">
      <c r="A76" s="86" t="s">
        <v>104</v>
      </c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</row>
    <row r="77" spans="1:22" x14ac:dyDescent="0.5">
      <c r="A77" s="89" t="s">
        <v>35</v>
      </c>
      <c r="B77" s="90">
        <f>NPV(0.05,B64:V64)</f>
        <v>-3661456.0653873943</v>
      </c>
      <c r="C77" s="91"/>
    </row>
    <row r="78" spans="1:22" x14ac:dyDescent="0.5">
      <c r="A78" s="89" t="s">
        <v>27</v>
      </c>
      <c r="B78" s="92">
        <f>IRR(B64:V64,0.05)</f>
        <v>3.2265791758226969E-2</v>
      </c>
    </row>
    <row r="79" spans="1:22" x14ac:dyDescent="0.5">
      <c r="A79" s="89" t="s">
        <v>31</v>
      </c>
      <c r="B79" s="93"/>
      <c r="C79" s="94"/>
      <c r="D79" s="46" t="s">
        <v>32</v>
      </c>
      <c r="E79" s="46" t="s">
        <v>32</v>
      </c>
    </row>
    <row r="80" spans="1:22" x14ac:dyDescent="0.5">
      <c r="A80" s="86" t="s">
        <v>28</v>
      </c>
    </row>
  </sheetData>
  <pageMargins left="0.25" right="0.25" top="0.75" bottom="0.75" header="0.3" footer="0.3"/>
  <pageSetup paperSize="9" scale="3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5"/>
  <sheetViews>
    <sheetView zoomScale="99" zoomScaleNormal="99" workbookViewId="0">
      <selection activeCell="C23" sqref="C23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604.44*5</f>
        <v>3022.2000000000003</v>
      </c>
      <c r="C4" s="1" t="s">
        <v>63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65</v>
      </c>
      <c r="B13" s="3">
        <v>20358669.5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3362389.5650410806</v>
      </c>
      <c r="D23" s="6">
        <f t="shared" ref="D23:V23" si="0">((($B$4*$B$7*$F$7)-((($B$4*$B$7*$F$7)*10%))+((($B$4*$B$9)*$F$9)+((($B$4*$B$7)*$F$9)*10%))))</f>
        <v>3362389.5650410806</v>
      </c>
      <c r="E23" s="6">
        <f t="shared" si="0"/>
        <v>3362389.5650410806</v>
      </c>
      <c r="F23" s="6">
        <f t="shared" si="0"/>
        <v>3362389.5650410806</v>
      </c>
      <c r="G23" s="6">
        <f t="shared" si="0"/>
        <v>3362389.5650410806</v>
      </c>
      <c r="H23" s="6">
        <f t="shared" si="0"/>
        <v>3362389.5650410806</v>
      </c>
      <c r="I23" s="6">
        <f t="shared" si="0"/>
        <v>3362389.5650410806</v>
      </c>
      <c r="J23" s="6">
        <f t="shared" si="0"/>
        <v>3362389.5650410806</v>
      </c>
      <c r="K23" s="6">
        <f t="shared" si="0"/>
        <v>3362389.5650410806</v>
      </c>
      <c r="L23" s="6">
        <f t="shared" si="0"/>
        <v>3362389.5650410806</v>
      </c>
      <c r="M23" s="6">
        <f t="shared" si="0"/>
        <v>3362389.5650410806</v>
      </c>
      <c r="N23" s="6">
        <f t="shared" si="0"/>
        <v>3362389.5650410806</v>
      </c>
      <c r="O23" s="6">
        <f t="shared" si="0"/>
        <v>3362389.5650410806</v>
      </c>
      <c r="P23" s="6">
        <f t="shared" si="0"/>
        <v>3362389.5650410806</v>
      </c>
      <c r="Q23" s="6">
        <f t="shared" si="0"/>
        <v>3362389.5650410806</v>
      </c>
      <c r="R23" s="6">
        <f t="shared" si="0"/>
        <v>3362389.5650410806</v>
      </c>
      <c r="S23" s="6">
        <f t="shared" si="0"/>
        <v>3362389.5650410806</v>
      </c>
      <c r="T23" s="6">
        <f t="shared" si="0"/>
        <v>3362389.5650410806</v>
      </c>
      <c r="U23" s="6">
        <f t="shared" si="0"/>
        <v>3362389.5650410806</v>
      </c>
      <c r="V23" s="6">
        <f t="shared" si="0"/>
        <v>3362389.5650410806</v>
      </c>
      <c r="W23" s="9">
        <f>SUM(B23:V23)</f>
        <v>67247791.300821617</v>
      </c>
    </row>
    <row r="24" spans="1:23" s="4" customFormat="1" x14ac:dyDescent="0.25">
      <c r="A24" s="5" t="s">
        <v>29</v>
      </c>
      <c r="B24" s="6">
        <f>B13</f>
        <v>20358669.5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20358669.5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69</v>
      </c>
      <c r="B26" s="10">
        <f>B13</f>
        <v>20358669.5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-20358669.5</v>
      </c>
      <c r="C29" s="32">
        <f>C23*0.8</f>
        <v>2689911.6520328647</v>
      </c>
      <c r="D29" s="32">
        <f t="shared" ref="D29:G29" si="3">D23*0.8</f>
        <v>2689911.6520328647</v>
      </c>
      <c r="E29" s="32">
        <f t="shared" si="3"/>
        <v>2689911.6520328647</v>
      </c>
      <c r="F29" s="32">
        <f t="shared" si="3"/>
        <v>2689911.6520328647</v>
      </c>
      <c r="G29" s="32">
        <f t="shared" si="3"/>
        <v>2689911.6520328647</v>
      </c>
      <c r="H29" s="32">
        <f>(H23*0.8*11/12)+(H23*0.5*1/12)</f>
        <v>2605851.9129068376</v>
      </c>
      <c r="I29" s="32">
        <f>I23*0.5</f>
        <v>1681194.7825205403</v>
      </c>
      <c r="J29" s="32">
        <f t="shared" ref="J29:V29" si="4">J23*0.5</f>
        <v>1681194.7825205403</v>
      </c>
      <c r="K29" s="32">
        <f t="shared" si="4"/>
        <v>1681194.7825205403</v>
      </c>
      <c r="L29" s="32">
        <f t="shared" si="4"/>
        <v>1681194.7825205403</v>
      </c>
      <c r="M29" s="32">
        <f t="shared" si="4"/>
        <v>1681194.7825205403</v>
      </c>
      <c r="N29" s="32">
        <f t="shared" si="4"/>
        <v>1681194.7825205403</v>
      </c>
      <c r="O29" s="32">
        <f t="shared" si="4"/>
        <v>1681194.7825205403</v>
      </c>
      <c r="P29" s="32">
        <f t="shared" si="4"/>
        <v>1681194.7825205403</v>
      </c>
      <c r="Q29" s="32">
        <f t="shared" si="4"/>
        <v>1681194.7825205403</v>
      </c>
      <c r="R29" s="32">
        <f t="shared" si="4"/>
        <v>1681194.7825205403</v>
      </c>
      <c r="S29" s="32">
        <f t="shared" si="4"/>
        <v>1681194.7825205403</v>
      </c>
      <c r="T29" s="32">
        <f t="shared" si="4"/>
        <v>1681194.7825205403</v>
      </c>
      <c r="U29" s="32">
        <f t="shared" si="4"/>
        <v>1681194.7825205403</v>
      </c>
      <c r="V29" s="32">
        <f t="shared" si="4"/>
        <v>1681194.7825205403</v>
      </c>
      <c r="W29" s="33">
        <f>SUM(B29:V29)</f>
        <v>19233467.628358725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203586.69500000001</v>
      </c>
      <c r="F30" s="42">
        <f>E30*1.05</f>
        <v>213766.02975000002</v>
      </c>
      <c r="G30" s="42">
        <f t="shared" ref="G30:V30" si="5">F30*1.05</f>
        <v>224454.33123750004</v>
      </c>
      <c r="H30" s="42">
        <f t="shared" si="5"/>
        <v>235677.04779937505</v>
      </c>
      <c r="I30" s="42">
        <f t="shared" si="5"/>
        <v>247460.90018934381</v>
      </c>
      <c r="J30" s="42">
        <f t="shared" si="5"/>
        <v>259833.94519881101</v>
      </c>
      <c r="K30" s="42">
        <f t="shared" si="5"/>
        <v>272825.64245875156</v>
      </c>
      <c r="L30" s="42">
        <f t="shared" si="5"/>
        <v>286466.92458168918</v>
      </c>
      <c r="M30" s="42">
        <f t="shared" si="5"/>
        <v>300790.27081077365</v>
      </c>
      <c r="N30" s="42">
        <f t="shared" si="5"/>
        <v>315829.78435131232</v>
      </c>
      <c r="O30" s="42">
        <f t="shared" si="5"/>
        <v>331621.27356887795</v>
      </c>
      <c r="P30" s="42">
        <f t="shared" si="5"/>
        <v>348202.33724732185</v>
      </c>
      <c r="Q30" s="42">
        <f t="shared" si="5"/>
        <v>365612.45410968794</v>
      </c>
      <c r="R30" s="42">
        <f t="shared" si="5"/>
        <v>383893.07681517233</v>
      </c>
      <c r="S30" s="42">
        <f t="shared" si="5"/>
        <v>403087.73065593094</v>
      </c>
      <c r="T30" s="42">
        <f t="shared" si="5"/>
        <v>423242.11718872748</v>
      </c>
      <c r="U30" s="42">
        <f t="shared" si="5"/>
        <v>444404.22304816387</v>
      </c>
      <c r="V30" s="42">
        <f t="shared" si="5"/>
        <v>466624.43420057208</v>
      </c>
      <c r="W30" s="9">
        <f>SUM(C30:V30)</f>
        <v>5727379.2182120103</v>
      </c>
    </row>
    <row r="31" spans="1:23" s="28" customFormat="1" x14ac:dyDescent="0.25">
      <c r="A31" s="28" t="s">
        <v>34</v>
      </c>
      <c r="B31" s="29"/>
      <c r="C31" s="29">
        <f>(C23-C28-C29)*0.3</f>
        <v>201743.37390246475</v>
      </c>
      <c r="D31" s="29">
        <f t="shared" ref="D31:V31" si="6">(D23-D28-D29)*0.3</f>
        <v>201743.37390246475</v>
      </c>
      <c r="E31" s="29">
        <f>(E23-E28-E29-E30)*0.3</f>
        <v>140667.36540246475</v>
      </c>
      <c r="F31" s="29">
        <f t="shared" si="6"/>
        <v>201743.37390246475</v>
      </c>
      <c r="G31" s="29">
        <f t="shared" si="6"/>
        <v>201743.37390246475</v>
      </c>
      <c r="H31" s="29">
        <f t="shared" si="6"/>
        <v>226961.29564027287</v>
      </c>
      <c r="I31" s="29">
        <f t="shared" si="6"/>
        <v>504358.43475616205</v>
      </c>
      <c r="J31" s="29">
        <f t="shared" si="6"/>
        <v>504358.43475616205</v>
      </c>
      <c r="K31" s="29">
        <f t="shared" si="6"/>
        <v>504358.43475616205</v>
      </c>
      <c r="L31" s="29">
        <f t="shared" si="6"/>
        <v>504358.43475616205</v>
      </c>
      <c r="M31" s="29">
        <f t="shared" si="6"/>
        <v>504358.43475616205</v>
      </c>
      <c r="N31" s="29">
        <f t="shared" si="6"/>
        <v>504358.43475616205</v>
      </c>
      <c r="O31" s="29">
        <f t="shared" si="6"/>
        <v>504358.43475616205</v>
      </c>
      <c r="P31" s="29">
        <f t="shared" si="6"/>
        <v>504358.43475616205</v>
      </c>
      <c r="Q31" s="29">
        <f t="shared" si="6"/>
        <v>504358.43475616205</v>
      </c>
      <c r="R31" s="29">
        <f t="shared" si="6"/>
        <v>504358.43475616205</v>
      </c>
      <c r="S31" s="29">
        <f t="shared" si="6"/>
        <v>504358.43475616205</v>
      </c>
      <c r="T31" s="29">
        <f t="shared" si="6"/>
        <v>504358.43475616205</v>
      </c>
      <c r="U31" s="29">
        <f t="shared" si="6"/>
        <v>504358.43475616205</v>
      </c>
      <c r="V31" s="29">
        <f t="shared" si="6"/>
        <v>504358.43475616205</v>
      </c>
      <c r="W31" s="9">
        <f>SUM(C31:V31)</f>
        <v>8235620.2432388617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470734.53910575109</v>
      </c>
      <c r="D32" s="26">
        <f t="shared" ref="D32:E32" si="7">D23-D28-D29-D30-D31</f>
        <v>470734.53910575109</v>
      </c>
      <c r="E32" s="26">
        <f t="shared" si="7"/>
        <v>328223.85260575108</v>
      </c>
      <c r="F32" s="26">
        <f>F23-F28-F29-F30-F31</f>
        <v>256968.5093557511</v>
      </c>
      <c r="G32" s="26">
        <f t="shared" ref="G32:O32" si="8">G23-G28-G29-G30-G31</f>
        <v>246280.20786825102</v>
      </c>
      <c r="H32" s="26">
        <f t="shared" si="8"/>
        <v>293899.30869459501</v>
      </c>
      <c r="I32" s="26">
        <f t="shared" si="8"/>
        <v>929375.44757503434</v>
      </c>
      <c r="J32" s="26">
        <f t="shared" si="8"/>
        <v>917002.40256556729</v>
      </c>
      <c r="K32" s="26">
        <f t="shared" si="8"/>
        <v>904010.70530562662</v>
      </c>
      <c r="L32" s="26">
        <f t="shared" si="8"/>
        <v>890369.42318268912</v>
      </c>
      <c r="M32" s="26">
        <f t="shared" si="8"/>
        <v>876046.07695360458</v>
      </c>
      <c r="N32" s="26">
        <f t="shared" si="8"/>
        <v>861006.56341306586</v>
      </c>
      <c r="O32" s="26">
        <f t="shared" si="8"/>
        <v>845215.07419550023</v>
      </c>
      <c r="P32" s="26">
        <f>P23-P28-P29-P30-P31</f>
        <v>828634.01051705633</v>
      </c>
      <c r="Q32" s="26">
        <f t="shared" ref="Q32:V32" si="9">Q23-Q28-Q29-Q30-Q31</f>
        <v>811223.89365469012</v>
      </c>
      <c r="R32" s="26">
        <f t="shared" si="9"/>
        <v>792943.27094920585</v>
      </c>
      <c r="S32" s="26">
        <f t="shared" si="9"/>
        <v>773748.61710844724</v>
      </c>
      <c r="T32" s="26">
        <f t="shared" si="9"/>
        <v>753594.2305756507</v>
      </c>
      <c r="U32" s="26">
        <f t="shared" si="9"/>
        <v>732432.12471621437</v>
      </c>
      <c r="V32" s="26">
        <f t="shared" si="9"/>
        <v>710211.9135638061</v>
      </c>
      <c r="W32" s="9">
        <f>SUM(C32:V32)</f>
        <v>13692654.71101201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2:22" s="21" customFormat="1" x14ac:dyDescent="0.25"/>
  </sheetData>
  <pageMargins left="0.25" right="0.25" top="0.75" bottom="0.75" header="0.3" footer="0.3"/>
  <pageSetup paperSize="9" scale="3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4"/>
  <sheetViews>
    <sheetView zoomScale="99" zoomScaleNormal="99" workbookViewId="0">
      <selection activeCell="A35" sqref="A35:XFD48"/>
    </sheetView>
  </sheetViews>
  <sheetFormatPr defaultRowHeight="15" x14ac:dyDescent="0.25"/>
  <cols>
    <col min="1" max="1" width="60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459.54*5</f>
        <v>2297.7000000000003</v>
      </c>
      <c r="C4" s="1" t="s">
        <v>58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61</v>
      </c>
      <c r="B13" s="3">
        <v>12814707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2556337.2720517805</v>
      </c>
      <c r="D23" s="6">
        <f t="shared" ref="D23:V23" si="0">((($B$4*$B$7*$F$7)-((($B$4*$B$7*$F$7)*10%))+((($B$4*$B$9)*$F$9)+((($B$4*$B$7)*$F$9)*10%))))</f>
        <v>2556337.2720517805</v>
      </c>
      <c r="E23" s="6">
        <f t="shared" si="0"/>
        <v>2556337.2720517805</v>
      </c>
      <c r="F23" s="6">
        <f t="shared" si="0"/>
        <v>2556337.2720517805</v>
      </c>
      <c r="G23" s="6">
        <f t="shared" si="0"/>
        <v>2556337.2720517805</v>
      </c>
      <c r="H23" s="6">
        <f t="shared" si="0"/>
        <v>2556337.2720517805</v>
      </c>
      <c r="I23" s="6">
        <f t="shared" si="0"/>
        <v>2556337.2720517805</v>
      </c>
      <c r="J23" s="6">
        <f t="shared" si="0"/>
        <v>2556337.2720517805</v>
      </c>
      <c r="K23" s="6">
        <f t="shared" si="0"/>
        <v>2556337.2720517805</v>
      </c>
      <c r="L23" s="6">
        <f t="shared" si="0"/>
        <v>2556337.2720517805</v>
      </c>
      <c r="M23" s="6">
        <f t="shared" si="0"/>
        <v>2556337.2720517805</v>
      </c>
      <c r="N23" s="6">
        <f t="shared" si="0"/>
        <v>2556337.2720517805</v>
      </c>
      <c r="O23" s="6">
        <f t="shared" si="0"/>
        <v>2556337.2720517805</v>
      </c>
      <c r="P23" s="6">
        <f t="shared" si="0"/>
        <v>2556337.2720517805</v>
      </c>
      <c r="Q23" s="6">
        <f t="shared" si="0"/>
        <v>2556337.2720517805</v>
      </c>
      <c r="R23" s="6">
        <f t="shared" si="0"/>
        <v>2556337.2720517805</v>
      </c>
      <c r="S23" s="6">
        <f t="shared" si="0"/>
        <v>2556337.2720517805</v>
      </c>
      <c r="T23" s="6">
        <f t="shared" si="0"/>
        <v>2556337.2720517805</v>
      </c>
      <c r="U23" s="6">
        <f t="shared" si="0"/>
        <v>2556337.2720517805</v>
      </c>
      <c r="V23" s="6">
        <f t="shared" si="0"/>
        <v>2556337.2720517805</v>
      </c>
      <c r="W23" s="9">
        <f>SUM(B23:V23)</f>
        <v>51126745.441035621</v>
      </c>
    </row>
    <row r="24" spans="1:23" s="4" customFormat="1" x14ac:dyDescent="0.25">
      <c r="A24" s="5" t="s">
        <v>29</v>
      </c>
      <c r="B24" s="6">
        <f>B13</f>
        <v>12814707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12814707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69</v>
      </c>
      <c r="B26" s="10">
        <f>B13</f>
        <v>12814707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-12814707</v>
      </c>
      <c r="C29" s="32">
        <f>C23*0.8</f>
        <v>2045069.8176414245</v>
      </c>
      <c r="D29" s="32">
        <f t="shared" ref="D29:G29" si="3">D23*0.8</f>
        <v>2045069.8176414245</v>
      </c>
      <c r="E29" s="32">
        <f t="shared" si="3"/>
        <v>2045069.8176414245</v>
      </c>
      <c r="F29" s="32">
        <f t="shared" si="3"/>
        <v>2045069.8176414245</v>
      </c>
      <c r="G29" s="32">
        <f t="shared" si="3"/>
        <v>2045069.8176414245</v>
      </c>
      <c r="H29" s="32">
        <f>(H23*0.8*11/12)+(H23*0.5*1/12)</f>
        <v>1981161.38584013</v>
      </c>
      <c r="I29" s="32">
        <f>I23*0.5</f>
        <v>1278168.6360258902</v>
      </c>
      <c r="J29" s="32">
        <f t="shared" ref="J29:V29" si="4">J23*0.5</f>
        <v>1278168.6360258902</v>
      </c>
      <c r="K29" s="32">
        <f t="shared" si="4"/>
        <v>1278168.6360258902</v>
      </c>
      <c r="L29" s="32">
        <f t="shared" si="4"/>
        <v>1278168.6360258902</v>
      </c>
      <c r="M29" s="32">
        <f t="shared" si="4"/>
        <v>1278168.6360258902</v>
      </c>
      <c r="N29" s="32">
        <f t="shared" si="4"/>
        <v>1278168.6360258902</v>
      </c>
      <c r="O29" s="32">
        <f t="shared" si="4"/>
        <v>1278168.6360258902</v>
      </c>
      <c r="P29" s="32">
        <f t="shared" si="4"/>
        <v>1278168.6360258902</v>
      </c>
      <c r="Q29" s="32">
        <f t="shared" si="4"/>
        <v>1278168.6360258902</v>
      </c>
      <c r="R29" s="32">
        <f t="shared" si="4"/>
        <v>1278168.6360258902</v>
      </c>
      <c r="S29" s="32">
        <f t="shared" si="4"/>
        <v>1278168.6360258902</v>
      </c>
      <c r="T29" s="32">
        <f t="shared" si="4"/>
        <v>1278168.6360258902</v>
      </c>
      <c r="U29" s="32">
        <f t="shared" si="4"/>
        <v>1278168.6360258902</v>
      </c>
      <c r="V29" s="32">
        <f t="shared" si="4"/>
        <v>1278168.6360258902</v>
      </c>
      <c r="W29" s="33">
        <f>SUM(B29:V29)</f>
        <v>17286164.378409717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128147.07</v>
      </c>
      <c r="F30" s="42">
        <f>E30*1.05</f>
        <v>134554.4235</v>
      </c>
      <c r="G30" s="42">
        <f t="shared" ref="G30:V30" si="5">F30*1.05</f>
        <v>141282.14467500002</v>
      </c>
      <c r="H30" s="42">
        <f t="shared" si="5"/>
        <v>148346.25190875001</v>
      </c>
      <c r="I30" s="42">
        <f t="shared" si="5"/>
        <v>155763.56450418753</v>
      </c>
      <c r="J30" s="42">
        <f t="shared" si="5"/>
        <v>163551.74272939691</v>
      </c>
      <c r="K30" s="42">
        <f t="shared" si="5"/>
        <v>171729.32986586675</v>
      </c>
      <c r="L30" s="42">
        <f t="shared" si="5"/>
        <v>180315.7963591601</v>
      </c>
      <c r="M30" s="42">
        <f t="shared" si="5"/>
        <v>189331.58617711812</v>
      </c>
      <c r="N30" s="42">
        <f t="shared" si="5"/>
        <v>198798.16548597402</v>
      </c>
      <c r="O30" s="42">
        <f t="shared" si="5"/>
        <v>208738.07376027273</v>
      </c>
      <c r="P30" s="42">
        <f t="shared" si="5"/>
        <v>219174.97744828637</v>
      </c>
      <c r="Q30" s="42">
        <f t="shared" si="5"/>
        <v>230133.72632070069</v>
      </c>
      <c r="R30" s="42">
        <f t="shared" si="5"/>
        <v>241640.41263673574</v>
      </c>
      <c r="S30" s="42">
        <f t="shared" si="5"/>
        <v>253722.43326857252</v>
      </c>
      <c r="T30" s="42">
        <f t="shared" si="5"/>
        <v>266408.55493200116</v>
      </c>
      <c r="U30" s="42">
        <f t="shared" si="5"/>
        <v>279728.98267860123</v>
      </c>
      <c r="V30" s="42">
        <f t="shared" si="5"/>
        <v>293715.43181253131</v>
      </c>
      <c r="W30" s="9">
        <f>SUM(C30:V30)</f>
        <v>3605082.6680631549</v>
      </c>
    </row>
    <row r="31" spans="1:23" s="28" customFormat="1" x14ac:dyDescent="0.25">
      <c r="A31" s="28" t="s">
        <v>34</v>
      </c>
      <c r="B31" s="29"/>
      <c r="C31" s="29">
        <f>(C23-C28-C29)*0.3</f>
        <v>153380.2363231068</v>
      </c>
      <c r="D31" s="29">
        <f t="shared" ref="D31:V31" si="6">(D23-D28-D29)*0.3</f>
        <v>153380.2363231068</v>
      </c>
      <c r="E31" s="29">
        <f>(E23-E28-E29-E30)*0.3</f>
        <v>114936.1153231068</v>
      </c>
      <c r="F31" s="29">
        <f t="shared" si="6"/>
        <v>153380.2363231068</v>
      </c>
      <c r="G31" s="29">
        <f t="shared" si="6"/>
        <v>153380.2363231068</v>
      </c>
      <c r="H31" s="29">
        <f t="shared" si="6"/>
        <v>172552.76586349512</v>
      </c>
      <c r="I31" s="29">
        <f t="shared" si="6"/>
        <v>383450.59080776706</v>
      </c>
      <c r="J31" s="29">
        <f t="shared" si="6"/>
        <v>383450.59080776706</v>
      </c>
      <c r="K31" s="29">
        <f t="shared" si="6"/>
        <v>383450.59080776706</v>
      </c>
      <c r="L31" s="29">
        <f t="shared" si="6"/>
        <v>383450.59080776706</v>
      </c>
      <c r="M31" s="29">
        <f t="shared" si="6"/>
        <v>383450.59080776706</v>
      </c>
      <c r="N31" s="29">
        <f t="shared" si="6"/>
        <v>383450.59080776706</v>
      </c>
      <c r="O31" s="29">
        <f t="shared" si="6"/>
        <v>383450.59080776706</v>
      </c>
      <c r="P31" s="29">
        <f t="shared" si="6"/>
        <v>383450.59080776706</v>
      </c>
      <c r="Q31" s="29">
        <f t="shared" si="6"/>
        <v>383450.59080776706</v>
      </c>
      <c r="R31" s="29">
        <f t="shared" si="6"/>
        <v>383450.59080776706</v>
      </c>
      <c r="S31" s="29">
        <f t="shared" si="6"/>
        <v>383450.59080776706</v>
      </c>
      <c r="T31" s="29">
        <f t="shared" si="6"/>
        <v>383450.59080776706</v>
      </c>
      <c r="U31" s="29">
        <f t="shared" si="6"/>
        <v>383450.59080776706</v>
      </c>
      <c r="V31" s="29">
        <f t="shared" si="6"/>
        <v>383450.59080776706</v>
      </c>
      <c r="W31" s="9">
        <f>SUM(C31:V31)</f>
        <v>6269318.0977877658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357887.2180872492</v>
      </c>
      <c r="D32" s="26">
        <f t="shared" ref="D32:E32" si="7">D23-D28-D29-D30-D31</f>
        <v>357887.2180872492</v>
      </c>
      <c r="E32" s="26">
        <f t="shared" si="7"/>
        <v>268184.26908724918</v>
      </c>
      <c r="F32" s="26">
        <f>F23-F28-F29-F30-F31</f>
        <v>223332.79458724917</v>
      </c>
      <c r="G32" s="26">
        <f t="shared" ref="G32:O32" si="8">G23-G28-G29-G30-G31</f>
        <v>216605.07341224921</v>
      </c>
      <c r="H32" s="26">
        <f t="shared" si="8"/>
        <v>254276.86843940528</v>
      </c>
      <c r="I32" s="26">
        <f t="shared" si="8"/>
        <v>738954.48071393557</v>
      </c>
      <c r="J32" s="26">
        <f t="shared" si="8"/>
        <v>731166.3024887261</v>
      </c>
      <c r="K32" s="26">
        <f t="shared" si="8"/>
        <v>722988.71535225632</v>
      </c>
      <c r="L32" s="26">
        <f t="shared" si="8"/>
        <v>714402.24885896314</v>
      </c>
      <c r="M32" s="26">
        <f t="shared" si="8"/>
        <v>705386.459041005</v>
      </c>
      <c r="N32" s="26">
        <f t="shared" si="8"/>
        <v>695919.87973214919</v>
      </c>
      <c r="O32" s="26">
        <f t="shared" si="8"/>
        <v>685979.97145785042</v>
      </c>
      <c r="P32" s="26">
        <f>P23-P28-P29-P30-P31</f>
        <v>675543.06776983663</v>
      </c>
      <c r="Q32" s="26">
        <f t="shared" ref="Q32:V32" si="9">Q23-Q28-Q29-Q30-Q31</f>
        <v>664584.3188974224</v>
      </c>
      <c r="R32" s="26">
        <f t="shared" si="9"/>
        <v>653077.63258138741</v>
      </c>
      <c r="S32" s="26">
        <f t="shared" si="9"/>
        <v>640995.61194955069</v>
      </c>
      <c r="T32" s="26">
        <f t="shared" si="9"/>
        <v>628309.49028612208</v>
      </c>
      <c r="U32" s="26">
        <f t="shared" si="9"/>
        <v>614989.06253952184</v>
      </c>
      <c r="V32" s="26">
        <f t="shared" si="9"/>
        <v>601002.61340559181</v>
      </c>
      <c r="W32" s="9">
        <f>SUM(C32:V32)</f>
        <v>11151473.296774969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41"/>
  <sheetViews>
    <sheetView topLeftCell="A40" zoomScale="99" zoomScaleNormal="99" workbookViewId="0">
      <selection activeCell="A55" sqref="A55"/>
    </sheetView>
  </sheetViews>
  <sheetFormatPr defaultRowHeight="15" x14ac:dyDescent="0.25"/>
  <cols>
    <col min="1" max="1" width="60.140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341.55*5</f>
        <v>1707.75</v>
      </c>
      <c r="C4" s="1" t="s">
        <v>64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5" t="s">
        <v>69</v>
      </c>
      <c r="B13" s="3">
        <v>10038585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1899980.4049033502</v>
      </c>
      <c r="D23" s="6">
        <f t="shared" ref="D23:V23" si="0">((($B$4*$B$7*$F$7)-((($B$4*$B$7*$F$7)*10%))+((($B$4*$B$9)*$F$9)+((($B$4*$B$7)*$F$9)*10%))))</f>
        <v>1899980.4049033502</v>
      </c>
      <c r="E23" s="6">
        <f t="shared" si="0"/>
        <v>1899980.4049033502</v>
      </c>
      <c r="F23" s="6">
        <f t="shared" si="0"/>
        <v>1899980.4049033502</v>
      </c>
      <c r="G23" s="6">
        <f t="shared" si="0"/>
        <v>1899980.4049033502</v>
      </c>
      <c r="H23" s="6">
        <f t="shared" si="0"/>
        <v>1899980.4049033502</v>
      </c>
      <c r="I23" s="6">
        <f t="shared" si="0"/>
        <v>1899980.4049033502</v>
      </c>
      <c r="J23" s="6">
        <f t="shared" si="0"/>
        <v>1899980.4049033502</v>
      </c>
      <c r="K23" s="6">
        <f t="shared" si="0"/>
        <v>1899980.4049033502</v>
      </c>
      <c r="L23" s="6">
        <f t="shared" si="0"/>
        <v>1899980.4049033502</v>
      </c>
      <c r="M23" s="6">
        <f t="shared" si="0"/>
        <v>1899980.4049033502</v>
      </c>
      <c r="N23" s="6">
        <f t="shared" si="0"/>
        <v>1899980.4049033502</v>
      </c>
      <c r="O23" s="6">
        <f t="shared" si="0"/>
        <v>1899980.4049033502</v>
      </c>
      <c r="P23" s="6">
        <f t="shared" si="0"/>
        <v>1899980.4049033502</v>
      </c>
      <c r="Q23" s="6">
        <f t="shared" si="0"/>
        <v>1899980.4049033502</v>
      </c>
      <c r="R23" s="6">
        <f t="shared" si="0"/>
        <v>1899980.4049033502</v>
      </c>
      <c r="S23" s="6">
        <f t="shared" si="0"/>
        <v>1899980.4049033502</v>
      </c>
      <c r="T23" s="6">
        <f t="shared" si="0"/>
        <v>1899980.4049033502</v>
      </c>
      <c r="U23" s="6">
        <f t="shared" si="0"/>
        <v>1899980.4049033502</v>
      </c>
      <c r="V23" s="6">
        <f t="shared" si="0"/>
        <v>1899980.4049033502</v>
      </c>
      <c r="W23" s="9">
        <f>SUM(B23:V23)</f>
        <v>37999608.098066993</v>
      </c>
    </row>
    <row r="24" spans="1:23" s="4" customFormat="1" x14ac:dyDescent="0.25">
      <c r="A24" s="5" t="s">
        <v>29</v>
      </c>
      <c r="B24" s="6">
        <f>B13</f>
        <v>10038585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10038585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51</v>
      </c>
      <c r="B26" s="10">
        <f>B13</f>
        <v>10038585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-10038585</v>
      </c>
      <c r="C29" s="32">
        <f>C23*0.8</f>
        <v>1519984.3239226802</v>
      </c>
      <c r="D29" s="32">
        <f t="shared" ref="D29:G29" si="3">D23*0.8</f>
        <v>1519984.3239226802</v>
      </c>
      <c r="E29" s="32">
        <f t="shared" si="3"/>
        <v>1519984.3239226802</v>
      </c>
      <c r="F29" s="32">
        <f t="shared" si="3"/>
        <v>1519984.3239226802</v>
      </c>
      <c r="G29" s="32">
        <f t="shared" si="3"/>
        <v>1519984.3239226802</v>
      </c>
      <c r="H29" s="32">
        <f>(H23*0.8*11/12)+(H23*0.5*1/12)</f>
        <v>1472484.8138000963</v>
      </c>
      <c r="I29" s="32">
        <f>I23*0.5</f>
        <v>949990.20245167508</v>
      </c>
      <c r="J29" s="32">
        <f t="shared" ref="J29:V29" si="4">J23*0.5</f>
        <v>949990.20245167508</v>
      </c>
      <c r="K29" s="32">
        <f t="shared" si="4"/>
        <v>949990.20245167508</v>
      </c>
      <c r="L29" s="32">
        <f t="shared" si="4"/>
        <v>949990.20245167508</v>
      </c>
      <c r="M29" s="32">
        <f t="shared" si="4"/>
        <v>949990.20245167508</v>
      </c>
      <c r="N29" s="32">
        <f t="shared" si="4"/>
        <v>949990.20245167508</v>
      </c>
      <c r="O29" s="32">
        <f t="shared" si="4"/>
        <v>949990.20245167508</v>
      </c>
      <c r="P29" s="32">
        <f t="shared" si="4"/>
        <v>949990.20245167508</v>
      </c>
      <c r="Q29" s="32">
        <f t="shared" si="4"/>
        <v>949990.20245167508</v>
      </c>
      <c r="R29" s="32">
        <f t="shared" si="4"/>
        <v>949990.20245167508</v>
      </c>
      <c r="S29" s="32">
        <f t="shared" si="4"/>
        <v>949990.20245167508</v>
      </c>
      <c r="T29" s="32">
        <f t="shared" si="4"/>
        <v>949990.20245167508</v>
      </c>
      <c r="U29" s="32">
        <f t="shared" si="4"/>
        <v>949990.20245167508</v>
      </c>
      <c r="V29" s="32">
        <f t="shared" si="4"/>
        <v>949990.20245167508</v>
      </c>
      <c r="W29" s="33">
        <f>SUM(B29:V29)</f>
        <v>12333684.267736947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100385.85</v>
      </c>
      <c r="F30" s="42">
        <f>E30*1.05</f>
        <v>105405.14250000002</v>
      </c>
      <c r="G30" s="42">
        <f t="shared" ref="G30:V30" si="5">F30*1.05</f>
        <v>110675.39962500002</v>
      </c>
      <c r="H30" s="42">
        <f t="shared" si="5"/>
        <v>116209.16960625003</v>
      </c>
      <c r="I30" s="42">
        <f t="shared" si="5"/>
        <v>122019.62808656253</v>
      </c>
      <c r="J30" s="42">
        <f t="shared" si="5"/>
        <v>128120.60949089067</v>
      </c>
      <c r="K30" s="42">
        <f t="shared" si="5"/>
        <v>134526.6399654352</v>
      </c>
      <c r="L30" s="42">
        <f t="shared" si="5"/>
        <v>141252.97196370698</v>
      </c>
      <c r="M30" s="42">
        <f t="shared" si="5"/>
        <v>148315.62056189234</v>
      </c>
      <c r="N30" s="42">
        <f t="shared" si="5"/>
        <v>155731.40158998696</v>
      </c>
      <c r="O30" s="42">
        <f t="shared" si="5"/>
        <v>163517.97166948632</v>
      </c>
      <c r="P30" s="42">
        <f t="shared" si="5"/>
        <v>171693.87025296065</v>
      </c>
      <c r="Q30" s="42">
        <f t="shared" si="5"/>
        <v>180278.56376560871</v>
      </c>
      <c r="R30" s="42">
        <f t="shared" si="5"/>
        <v>189292.49195388914</v>
      </c>
      <c r="S30" s="42">
        <f t="shared" si="5"/>
        <v>198757.1165515836</v>
      </c>
      <c r="T30" s="42">
        <f t="shared" si="5"/>
        <v>208694.97237916279</v>
      </c>
      <c r="U30" s="42">
        <f t="shared" si="5"/>
        <v>219129.72099812093</v>
      </c>
      <c r="V30" s="42">
        <f t="shared" si="5"/>
        <v>230086.20704802699</v>
      </c>
      <c r="W30" s="9">
        <f>SUM(C30:V30)</f>
        <v>2824093.3480085633</v>
      </c>
    </row>
    <row r="31" spans="1:23" s="28" customFormat="1" x14ac:dyDescent="0.25">
      <c r="A31" s="28" t="s">
        <v>34</v>
      </c>
      <c r="B31" s="29"/>
      <c r="C31" s="29">
        <f>(C23-C28-C29)*0.3</f>
        <v>113998.82429420098</v>
      </c>
      <c r="D31" s="29">
        <f t="shared" ref="D31:V31" si="6">(D23-D28-D29)*0.3</f>
        <v>113998.82429420098</v>
      </c>
      <c r="E31" s="29">
        <f>(E23-E28-E29-E30)*0.3</f>
        <v>83883.069294200992</v>
      </c>
      <c r="F31" s="29">
        <f t="shared" si="6"/>
        <v>113998.82429420098</v>
      </c>
      <c r="G31" s="29">
        <f t="shared" si="6"/>
        <v>113998.82429420098</v>
      </c>
      <c r="H31" s="29">
        <f t="shared" si="6"/>
        <v>128248.67733097616</v>
      </c>
      <c r="I31" s="29">
        <f t="shared" si="6"/>
        <v>284997.06073550251</v>
      </c>
      <c r="J31" s="29">
        <f t="shared" si="6"/>
        <v>284997.06073550251</v>
      </c>
      <c r="K31" s="29">
        <f t="shared" si="6"/>
        <v>284997.06073550251</v>
      </c>
      <c r="L31" s="29">
        <f t="shared" si="6"/>
        <v>284997.06073550251</v>
      </c>
      <c r="M31" s="29">
        <f t="shared" si="6"/>
        <v>284997.06073550251</v>
      </c>
      <c r="N31" s="29">
        <f t="shared" si="6"/>
        <v>284997.06073550251</v>
      </c>
      <c r="O31" s="29">
        <f t="shared" si="6"/>
        <v>284997.06073550251</v>
      </c>
      <c r="P31" s="29">
        <f t="shared" si="6"/>
        <v>284997.06073550251</v>
      </c>
      <c r="Q31" s="29">
        <f t="shared" si="6"/>
        <v>284997.06073550251</v>
      </c>
      <c r="R31" s="29">
        <f t="shared" si="6"/>
        <v>284997.06073550251</v>
      </c>
      <c r="S31" s="29">
        <f t="shared" si="6"/>
        <v>284997.06073550251</v>
      </c>
      <c r="T31" s="29">
        <f t="shared" si="6"/>
        <v>284997.06073550251</v>
      </c>
      <c r="U31" s="29">
        <f t="shared" si="6"/>
        <v>284997.06073550251</v>
      </c>
      <c r="V31" s="29">
        <f t="shared" si="6"/>
        <v>284997.06073550251</v>
      </c>
      <c r="W31" s="9">
        <f>SUM(C31:V31)</f>
        <v>4658085.8940990148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265997.25668646896</v>
      </c>
      <c r="D32" s="26">
        <f t="shared" ref="D32:E32" si="7">D23-D28-D29-D30-D31</f>
        <v>265997.25668646896</v>
      </c>
      <c r="E32" s="26">
        <f t="shared" si="7"/>
        <v>195727.16168646899</v>
      </c>
      <c r="F32" s="26">
        <f>F23-F28-F29-F30-F31</f>
        <v>160592.11418646894</v>
      </c>
      <c r="G32" s="26">
        <f t="shared" ref="G32:O32" si="8">G23-G28-G29-G30-G31</f>
        <v>155321.85706146894</v>
      </c>
      <c r="H32" s="26">
        <f t="shared" si="8"/>
        <v>183037.7441660277</v>
      </c>
      <c r="I32" s="26">
        <f t="shared" si="8"/>
        <v>542973.51362961007</v>
      </c>
      <c r="J32" s="26">
        <f t="shared" si="8"/>
        <v>536872.53222528193</v>
      </c>
      <c r="K32" s="26">
        <f t="shared" si="8"/>
        <v>530466.50175073743</v>
      </c>
      <c r="L32" s="26">
        <f t="shared" si="8"/>
        <v>523740.16975246556</v>
      </c>
      <c r="M32" s="26">
        <f t="shared" si="8"/>
        <v>516677.52115428029</v>
      </c>
      <c r="N32" s="26">
        <f t="shared" si="8"/>
        <v>509261.74012618558</v>
      </c>
      <c r="O32" s="26">
        <f t="shared" si="8"/>
        <v>501475.17004668619</v>
      </c>
      <c r="P32" s="26">
        <f>P23-P28-P29-P30-P31</f>
        <v>493299.27146321186</v>
      </c>
      <c r="Q32" s="26">
        <f t="shared" ref="Q32:V32" si="9">Q23-Q28-Q29-Q30-Q31</f>
        <v>484714.57795056386</v>
      </c>
      <c r="R32" s="26">
        <f t="shared" si="9"/>
        <v>475700.64976228343</v>
      </c>
      <c r="S32" s="26">
        <f t="shared" si="9"/>
        <v>466236.02516458894</v>
      </c>
      <c r="T32" s="26">
        <f t="shared" si="9"/>
        <v>456298.16933700978</v>
      </c>
      <c r="U32" s="26">
        <f t="shared" si="9"/>
        <v>445863.42071805161</v>
      </c>
      <c r="V32" s="26">
        <f t="shared" si="9"/>
        <v>434906.93466814561</v>
      </c>
      <c r="W32" s="9">
        <f>SUM(C32:V32)</f>
        <v>8145159.5882224739</v>
      </c>
    </row>
    <row r="33" spans="1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25"/>
    <row r="36" spans="1:22" s="14" customFormat="1" x14ac:dyDescent="0.25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25">
      <c r="A37" s="11" t="s">
        <v>35</v>
      </c>
      <c r="B37" s="12">
        <f>NPV(0.05,B29:V29)</f>
        <v>4436250.001198289</v>
      </c>
      <c r="C37" s="18" t="e">
        <f>B37/B18</f>
        <v>#DIV/0!</v>
      </c>
      <c r="D37" t="s">
        <v>30</v>
      </c>
    </row>
    <row r="38" spans="1:22" x14ac:dyDescent="0.25">
      <c r="A38" s="11" t="s">
        <v>27</v>
      </c>
      <c r="B38" s="13">
        <f>IRR(B29:V29,0.05)</f>
        <v>0.10845710716957746</v>
      </c>
    </row>
    <row r="39" spans="1:22" x14ac:dyDescent="0.25">
      <c r="A39" s="11" t="s">
        <v>31</v>
      </c>
      <c r="B39" s="20">
        <v>5.92</v>
      </c>
      <c r="C39" s="19"/>
      <c r="D39" t="s">
        <v>32</v>
      </c>
      <c r="E39" t="s">
        <v>32</v>
      </c>
    </row>
    <row r="40" spans="1:22" x14ac:dyDescent="0.25">
      <c r="A40" s="16"/>
      <c r="B40" t="s">
        <v>32</v>
      </c>
    </row>
    <row r="41" spans="1:22" s="21" customFormat="1" x14ac:dyDescent="0.25">
      <c r="C41" s="27"/>
    </row>
  </sheetData>
  <pageMargins left="0.25" right="0.25" top="0.75" bottom="0.75" header="0.3" footer="0.3"/>
  <pageSetup paperSize="9" scale="3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4"/>
  <sheetViews>
    <sheetView topLeftCell="A31" zoomScale="99" zoomScaleNormal="99" workbookViewId="0">
      <selection activeCell="A45" sqref="A45"/>
    </sheetView>
  </sheetViews>
  <sheetFormatPr defaultRowHeight="15" x14ac:dyDescent="0.25"/>
  <cols>
    <col min="1" max="1" width="60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408.48*5</f>
        <v>2042.4</v>
      </c>
      <c r="C4" s="1" t="s">
        <v>67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66</v>
      </c>
      <c r="B13" s="3">
        <v>12863054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2272299.7973793605</v>
      </c>
      <c r="D23" s="6">
        <f t="shared" ref="D23:V23" si="0">((($B$4*$B$7*$F$7)-((($B$4*$B$7*$F$7)*10%))+((($B$4*$B$9)*$F$9)+((($B$4*$B$7)*$F$9)*10%))))</f>
        <v>2272299.7973793605</v>
      </c>
      <c r="E23" s="6">
        <f t="shared" si="0"/>
        <v>2272299.7973793605</v>
      </c>
      <c r="F23" s="6">
        <f t="shared" si="0"/>
        <v>2272299.7973793605</v>
      </c>
      <c r="G23" s="6">
        <f t="shared" si="0"/>
        <v>2272299.7973793605</v>
      </c>
      <c r="H23" s="6">
        <f t="shared" si="0"/>
        <v>2272299.7973793605</v>
      </c>
      <c r="I23" s="6">
        <f t="shared" si="0"/>
        <v>2272299.7973793605</v>
      </c>
      <c r="J23" s="6">
        <f t="shared" si="0"/>
        <v>2272299.7973793605</v>
      </c>
      <c r="K23" s="6">
        <f t="shared" si="0"/>
        <v>2272299.7973793605</v>
      </c>
      <c r="L23" s="6">
        <f t="shared" si="0"/>
        <v>2272299.7973793605</v>
      </c>
      <c r="M23" s="6">
        <f t="shared" si="0"/>
        <v>2272299.7973793605</v>
      </c>
      <c r="N23" s="6">
        <f t="shared" si="0"/>
        <v>2272299.7973793605</v>
      </c>
      <c r="O23" s="6">
        <f t="shared" si="0"/>
        <v>2272299.7973793605</v>
      </c>
      <c r="P23" s="6">
        <f t="shared" si="0"/>
        <v>2272299.7973793605</v>
      </c>
      <c r="Q23" s="6">
        <f t="shared" si="0"/>
        <v>2272299.7973793605</v>
      </c>
      <c r="R23" s="6">
        <f t="shared" si="0"/>
        <v>2272299.7973793605</v>
      </c>
      <c r="S23" s="6">
        <f t="shared" si="0"/>
        <v>2272299.7973793605</v>
      </c>
      <c r="T23" s="6">
        <f t="shared" si="0"/>
        <v>2272299.7973793605</v>
      </c>
      <c r="U23" s="6">
        <f t="shared" si="0"/>
        <v>2272299.7973793605</v>
      </c>
      <c r="V23" s="6">
        <f t="shared" si="0"/>
        <v>2272299.7973793605</v>
      </c>
      <c r="W23" s="9">
        <f>SUM(B23:V23)</f>
        <v>45445995.9475872</v>
      </c>
    </row>
    <row r="24" spans="1:23" s="4" customFormat="1" x14ac:dyDescent="0.25">
      <c r="A24" s="5" t="s">
        <v>29</v>
      </c>
      <c r="B24" s="6">
        <f>B13</f>
        <v>12863054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12863054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69</v>
      </c>
      <c r="B26" s="10">
        <f>B13</f>
        <v>12863054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-12863054</v>
      </c>
      <c r="C29" s="32">
        <f>C23*0.8</f>
        <v>1817839.8379034884</v>
      </c>
      <c r="D29" s="32">
        <f t="shared" ref="D29:G29" si="3">D23*0.8</f>
        <v>1817839.8379034884</v>
      </c>
      <c r="E29" s="32">
        <f t="shared" si="3"/>
        <v>1817839.8379034884</v>
      </c>
      <c r="F29" s="32">
        <f t="shared" si="3"/>
        <v>1817839.8379034884</v>
      </c>
      <c r="G29" s="32">
        <f t="shared" si="3"/>
        <v>1817839.8379034884</v>
      </c>
      <c r="H29" s="32">
        <f>(H23*0.8*11/12)+(H23*0.5*1/12)</f>
        <v>1761032.3429690045</v>
      </c>
      <c r="I29" s="32">
        <f>I23*0.5</f>
        <v>1136149.8986896803</v>
      </c>
      <c r="J29" s="32">
        <f t="shared" ref="J29:V29" si="4">J23*0.5</f>
        <v>1136149.8986896803</v>
      </c>
      <c r="K29" s="32">
        <f t="shared" si="4"/>
        <v>1136149.8986896803</v>
      </c>
      <c r="L29" s="32">
        <f t="shared" si="4"/>
        <v>1136149.8986896803</v>
      </c>
      <c r="M29" s="32">
        <f t="shared" si="4"/>
        <v>1136149.8986896803</v>
      </c>
      <c r="N29" s="32">
        <f t="shared" si="4"/>
        <v>1136149.8986896803</v>
      </c>
      <c r="O29" s="32">
        <f t="shared" si="4"/>
        <v>1136149.8986896803</v>
      </c>
      <c r="P29" s="32">
        <f t="shared" si="4"/>
        <v>1136149.8986896803</v>
      </c>
      <c r="Q29" s="32">
        <f t="shared" si="4"/>
        <v>1136149.8986896803</v>
      </c>
      <c r="R29" s="32">
        <f t="shared" si="4"/>
        <v>1136149.8986896803</v>
      </c>
      <c r="S29" s="32">
        <f t="shared" si="4"/>
        <v>1136149.8986896803</v>
      </c>
      <c r="T29" s="32">
        <f t="shared" si="4"/>
        <v>1136149.8986896803</v>
      </c>
      <c r="U29" s="32">
        <f t="shared" si="4"/>
        <v>1136149.8986896803</v>
      </c>
      <c r="V29" s="32">
        <f t="shared" si="4"/>
        <v>1136149.8986896803</v>
      </c>
      <c r="W29" s="33">
        <f>SUM(B29:V29)</f>
        <v>13893276.114141967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128630.54</v>
      </c>
      <c r="F30" s="42">
        <f>E30*1.05</f>
        <v>135062.06700000001</v>
      </c>
      <c r="G30" s="42">
        <f t="shared" ref="G30:V30" si="5">F30*1.05</f>
        <v>141815.17035000003</v>
      </c>
      <c r="H30" s="42">
        <f t="shared" si="5"/>
        <v>148905.92886750004</v>
      </c>
      <c r="I30" s="42">
        <f t="shared" si="5"/>
        <v>156351.22531087504</v>
      </c>
      <c r="J30" s="42">
        <f t="shared" si="5"/>
        <v>164168.78657641882</v>
      </c>
      <c r="K30" s="42">
        <f t="shared" si="5"/>
        <v>172377.22590523976</v>
      </c>
      <c r="L30" s="42">
        <f t="shared" si="5"/>
        <v>180996.08720050176</v>
      </c>
      <c r="M30" s="42">
        <f t="shared" si="5"/>
        <v>190045.89156052686</v>
      </c>
      <c r="N30" s="42">
        <f t="shared" si="5"/>
        <v>199548.1861385532</v>
      </c>
      <c r="O30" s="42">
        <f t="shared" si="5"/>
        <v>209525.59544548087</v>
      </c>
      <c r="P30" s="42">
        <f t="shared" si="5"/>
        <v>220001.87521775492</v>
      </c>
      <c r="Q30" s="42">
        <f t="shared" si="5"/>
        <v>231001.96897864266</v>
      </c>
      <c r="R30" s="42">
        <f t="shared" si="5"/>
        <v>242552.0674275748</v>
      </c>
      <c r="S30" s="42">
        <f t="shared" si="5"/>
        <v>254679.67079895356</v>
      </c>
      <c r="T30" s="42">
        <f t="shared" si="5"/>
        <v>267413.65433890128</v>
      </c>
      <c r="U30" s="42">
        <f t="shared" si="5"/>
        <v>280784.33705584635</v>
      </c>
      <c r="V30" s="42">
        <f t="shared" si="5"/>
        <v>294823.55390863866</v>
      </c>
      <c r="W30" s="9">
        <f>SUM(C30:V30)</f>
        <v>3618683.8320814082</v>
      </c>
    </row>
    <row r="31" spans="1:23" s="28" customFormat="1" x14ac:dyDescent="0.25">
      <c r="A31" s="28" t="s">
        <v>34</v>
      </c>
      <c r="B31" s="29"/>
      <c r="C31" s="29">
        <f>(C23-C28-C29)*0.3</f>
        <v>136337.98784276162</v>
      </c>
      <c r="D31" s="29">
        <f t="shared" ref="D31:V31" si="6">(D23-D28-D29)*0.3</f>
        <v>136337.98784276162</v>
      </c>
      <c r="E31" s="29">
        <f>(E23-E28-E29-E30)*0.3</f>
        <v>97748.825842761638</v>
      </c>
      <c r="F31" s="29">
        <f t="shared" si="6"/>
        <v>136337.98784276162</v>
      </c>
      <c r="G31" s="29">
        <f t="shared" si="6"/>
        <v>136337.98784276162</v>
      </c>
      <c r="H31" s="29">
        <f t="shared" si="6"/>
        <v>153380.2363231068</v>
      </c>
      <c r="I31" s="29">
        <f t="shared" si="6"/>
        <v>340844.96960690408</v>
      </c>
      <c r="J31" s="29">
        <f t="shared" si="6"/>
        <v>340844.96960690408</v>
      </c>
      <c r="K31" s="29">
        <f t="shared" si="6"/>
        <v>340844.96960690408</v>
      </c>
      <c r="L31" s="29">
        <f t="shared" si="6"/>
        <v>340844.96960690408</v>
      </c>
      <c r="M31" s="29">
        <f t="shared" si="6"/>
        <v>340844.96960690408</v>
      </c>
      <c r="N31" s="29">
        <f t="shared" si="6"/>
        <v>340844.96960690408</v>
      </c>
      <c r="O31" s="29">
        <f t="shared" si="6"/>
        <v>340844.96960690408</v>
      </c>
      <c r="P31" s="29">
        <f t="shared" si="6"/>
        <v>340844.96960690408</v>
      </c>
      <c r="Q31" s="29">
        <f t="shared" si="6"/>
        <v>340844.96960690408</v>
      </c>
      <c r="R31" s="29">
        <f t="shared" si="6"/>
        <v>340844.96960690408</v>
      </c>
      <c r="S31" s="29">
        <f t="shared" si="6"/>
        <v>340844.96960690408</v>
      </c>
      <c r="T31" s="29">
        <f t="shared" si="6"/>
        <v>340844.96960690408</v>
      </c>
      <c r="U31" s="29">
        <f t="shared" si="6"/>
        <v>340844.96960690408</v>
      </c>
      <c r="V31" s="29">
        <f t="shared" si="6"/>
        <v>340844.96960690408</v>
      </c>
      <c r="W31" s="9">
        <f>SUM(C31:V31)</f>
        <v>5568310.5880335746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318121.97163311049</v>
      </c>
      <c r="D32" s="26">
        <f t="shared" ref="D32:E32" si="7">D23-D28-D29-D30-D31</f>
        <v>318121.97163311049</v>
      </c>
      <c r="E32" s="26">
        <f t="shared" si="7"/>
        <v>228080.59363311049</v>
      </c>
      <c r="F32" s="26">
        <f>F23-F28-F29-F30-F31</f>
        <v>183059.90463311045</v>
      </c>
      <c r="G32" s="26">
        <f t="shared" ref="G32:O32" si="8">G23-G28-G29-G30-G31</f>
        <v>176306.80128311046</v>
      </c>
      <c r="H32" s="26">
        <f t="shared" si="8"/>
        <v>208981.28921974916</v>
      </c>
      <c r="I32" s="26">
        <f t="shared" si="8"/>
        <v>638953.70377190108</v>
      </c>
      <c r="J32" s="26">
        <f t="shared" si="8"/>
        <v>631136.1425063574</v>
      </c>
      <c r="K32" s="26">
        <f t="shared" si="8"/>
        <v>622927.70317753637</v>
      </c>
      <c r="L32" s="26">
        <f t="shared" si="8"/>
        <v>614308.84188227449</v>
      </c>
      <c r="M32" s="26">
        <f t="shared" si="8"/>
        <v>605259.03752224939</v>
      </c>
      <c r="N32" s="26">
        <f t="shared" si="8"/>
        <v>595756.74294422299</v>
      </c>
      <c r="O32" s="26">
        <f t="shared" si="8"/>
        <v>585779.33363729529</v>
      </c>
      <c r="P32" s="26">
        <f>P23-P28-P29-P30-P31</f>
        <v>575303.05386502133</v>
      </c>
      <c r="Q32" s="26">
        <f t="shared" ref="Q32:V32" si="9">Q23-Q28-Q29-Q30-Q31</f>
        <v>564302.96010413347</v>
      </c>
      <c r="R32" s="26">
        <f t="shared" si="9"/>
        <v>552752.86165520141</v>
      </c>
      <c r="S32" s="26">
        <f t="shared" si="9"/>
        <v>540625.25828382256</v>
      </c>
      <c r="T32" s="26">
        <f t="shared" si="9"/>
        <v>527891.27474387491</v>
      </c>
      <c r="U32" s="26">
        <f t="shared" si="9"/>
        <v>514520.59202692984</v>
      </c>
      <c r="V32" s="26">
        <f t="shared" si="9"/>
        <v>500481.37517413753</v>
      </c>
      <c r="W32" s="9">
        <f>SUM(C32:V32)</f>
        <v>9502671.4133302588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41"/>
  <sheetViews>
    <sheetView topLeftCell="A40" zoomScale="99" zoomScaleNormal="99" workbookViewId="0">
      <selection activeCell="A55" sqref="A55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110.4*5</f>
        <v>552</v>
      </c>
      <c r="C4" s="1" t="s">
        <v>68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70</v>
      </c>
      <c r="B13" s="3">
        <v>2838910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614135.0803728</v>
      </c>
      <c r="D23" s="6">
        <f t="shared" ref="D23:V23" si="0">((($B$4*$B$7*$F$7)-((($B$4*$B$7*$F$7)*10%))+((($B$4*$B$9)*$F$9)+((($B$4*$B$7)*$F$9)*10%))))</f>
        <v>614135.0803728</v>
      </c>
      <c r="E23" s="6">
        <f t="shared" si="0"/>
        <v>614135.0803728</v>
      </c>
      <c r="F23" s="6">
        <f t="shared" si="0"/>
        <v>614135.0803728</v>
      </c>
      <c r="G23" s="6">
        <f t="shared" si="0"/>
        <v>614135.0803728</v>
      </c>
      <c r="H23" s="6">
        <f t="shared" si="0"/>
        <v>614135.0803728</v>
      </c>
      <c r="I23" s="6">
        <f t="shared" si="0"/>
        <v>614135.0803728</v>
      </c>
      <c r="J23" s="6">
        <f t="shared" si="0"/>
        <v>614135.0803728</v>
      </c>
      <c r="K23" s="6">
        <f t="shared" si="0"/>
        <v>614135.0803728</v>
      </c>
      <c r="L23" s="6">
        <f t="shared" si="0"/>
        <v>614135.0803728</v>
      </c>
      <c r="M23" s="6">
        <f t="shared" si="0"/>
        <v>614135.0803728</v>
      </c>
      <c r="N23" s="6">
        <f t="shared" si="0"/>
        <v>614135.0803728</v>
      </c>
      <c r="O23" s="6">
        <f t="shared" si="0"/>
        <v>614135.0803728</v>
      </c>
      <c r="P23" s="6">
        <f t="shared" si="0"/>
        <v>614135.0803728</v>
      </c>
      <c r="Q23" s="6">
        <f t="shared" si="0"/>
        <v>614135.0803728</v>
      </c>
      <c r="R23" s="6">
        <f t="shared" si="0"/>
        <v>614135.0803728</v>
      </c>
      <c r="S23" s="6">
        <f t="shared" si="0"/>
        <v>614135.0803728</v>
      </c>
      <c r="T23" s="6">
        <f t="shared" si="0"/>
        <v>614135.0803728</v>
      </c>
      <c r="U23" s="6">
        <f t="shared" si="0"/>
        <v>614135.0803728</v>
      </c>
      <c r="V23" s="6">
        <f t="shared" si="0"/>
        <v>614135.0803728</v>
      </c>
      <c r="W23" s="9">
        <f>SUM(B23:V23)</f>
        <v>12282701.607455995</v>
      </c>
    </row>
    <row r="24" spans="1:23" s="4" customFormat="1" x14ac:dyDescent="0.25">
      <c r="A24" s="5" t="s">
        <v>29</v>
      </c>
      <c r="B24" s="6">
        <f>B13</f>
        <v>2838910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2838910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69</v>
      </c>
      <c r="B26" s="10">
        <f>B13</f>
        <v>2838910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-2838910</v>
      </c>
      <c r="C29" s="32">
        <f>C23*0.8</f>
        <v>491308.06429824</v>
      </c>
      <c r="D29" s="32">
        <f t="shared" ref="D29:G29" si="3">D23*0.8</f>
        <v>491308.06429824</v>
      </c>
      <c r="E29" s="32">
        <f t="shared" si="3"/>
        <v>491308.06429824</v>
      </c>
      <c r="F29" s="32">
        <f t="shared" si="3"/>
        <v>491308.06429824</v>
      </c>
      <c r="G29" s="32">
        <f t="shared" si="3"/>
        <v>491308.06429824</v>
      </c>
      <c r="H29" s="32">
        <f>(H23*0.8*11/12)+(H23*0.5*1/12)</f>
        <v>475954.68728891999</v>
      </c>
      <c r="I29" s="32">
        <f>I23*0.5</f>
        <v>307067.5401864</v>
      </c>
      <c r="J29" s="32">
        <f t="shared" ref="J29:V29" si="4">J23*0.5</f>
        <v>307067.5401864</v>
      </c>
      <c r="K29" s="32">
        <f t="shared" si="4"/>
        <v>307067.5401864</v>
      </c>
      <c r="L29" s="32">
        <f t="shared" si="4"/>
        <v>307067.5401864</v>
      </c>
      <c r="M29" s="32">
        <f t="shared" si="4"/>
        <v>307067.5401864</v>
      </c>
      <c r="N29" s="32">
        <f t="shared" si="4"/>
        <v>307067.5401864</v>
      </c>
      <c r="O29" s="32">
        <f t="shared" si="4"/>
        <v>307067.5401864</v>
      </c>
      <c r="P29" s="32">
        <f t="shared" si="4"/>
        <v>307067.5401864</v>
      </c>
      <c r="Q29" s="32">
        <f t="shared" si="4"/>
        <v>307067.5401864</v>
      </c>
      <c r="R29" s="32">
        <f t="shared" si="4"/>
        <v>307067.5401864</v>
      </c>
      <c r="S29" s="32">
        <f t="shared" si="4"/>
        <v>307067.5401864</v>
      </c>
      <c r="T29" s="32">
        <f t="shared" si="4"/>
        <v>307067.5401864</v>
      </c>
      <c r="U29" s="32">
        <f t="shared" si="4"/>
        <v>307067.5401864</v>
      </c>
      <c r="V29" s="32">
        <f t="shared" si="4"/>
        <v>307067.5401864</v>
      </c>
      <c r="W29" s="33">
        <f>SUM(B29:V29)</f>
        <v>4392530.5713897208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28389.1</v>
      </c>
      <c r="F30" s="42">
        <f>E30*1.05</f>
        <v>29808.555</v>
      </c>
      <c r="G30" s="42">
        <f t="shared" ref="G30:V30" si="5">F30*1.05</f>
        <v>31298.982750000003</v>
      </c>
      <c r="H30" s="42">
        <f t="shared" si="5"/>
        <v>32863.931887500003</v>
      </c>
      <c r="I30" s="42">
        <f t="shared" si="5"/>
        <v>34507.128481875006</v>
      </c>
      <c r="J30" s="42">
        <f t="shared" si="5"/>
        <v>36232.484905968755</v>
      </c>
      <c r="K30" s="42">
        <f t="shared" si="5"/>
        <v>38044.109151267192</v>
      </c>
      <c r="L30" s="42">
        <f t="shared" si="5"/>
        <v>39946.314608830551</v>
      </c>
      <c r="M30" s="42">
        <f t="shared" si="5"/>
        <v>41943.63033927208</v>
      </c>
      <c r="N30" s="42">
        <f t="shared" si="5"/>
        <v>44040.811856235683</v>
      </c>
      <c r="O30" s="42">
        <f t="shared" si="5"/>
        <v>46242.852449047467</v>
      </c>
      <c r="P30" s="42">
        <f t="shared" si="5"/>
        <v>48554.995071499841</v>
      </c>
      <c r="Q30" s="42">
        <f t="shared" si="5"/>
        <v>50982.744825074835</v>
      </c>
      <c r="R30" s="42">
        <f t="shared" si="5"/>
        <v>53531.882066328581</v>
      </c>
      <c r="S30" s="42">
        <f t="shared" si="5"/>
        <v>56208.476169645015</v>
      </c>
      <c r="T30" s="42">
        <f t="shared" si="5"/>
        <v>59018.899978127265</v>
      </c>
      <c r="U30" s="42">
        <f t="shared" si="5"/>
        <v>61969.84497703363</v>
      </c>
      <c r="V30" s="42">
        <f t="shared" si="5"/>
        <v>65068.337225885312</v>
      </c>
      <c r="W30" s="9">
        <f>SUM(C30:V30)</f>
        <v>798653.08174359123</v>
      </c>
    </row>
    <row r="31" spans="1:23" s="28" customFormat="1" x14ac:dyDescent="0.25">
      <c r="A31" s="28" t="s">
        <v>34</v>
      </c>
      <c r="B31" s="29"/>
      <c r="C31" s="29">
        <f>(C23-C28-C29)*0.3</f>
        <v>36848.104822367997</v>
      </c>
      <c r="D31" s="29">
        <f t="shared" ref="D31:V31" si="6">(D23-D28-D29)*0.3</f>
        <v>36848.104822367997</v>
      </c>
      <c r="E31" s="29">
        <f>(E23-E28-E29-E30)*0.3</f>
        <v>28331.374822367998</v>
      </c>
      <c r="F31" s="29">
        <f t="shared" si="6"/>
        <v>36848.104822367997</v>
      </c>
      <c r="G31" s="29">
        <f t="shared" si="6"/>
        <v>36848.104822367997</v>
      </c>
      <c r="H31" s="29">
        <f t="shared" si="6"/>
        <v>41454.117925164006</v>
      </c>
      <c r="I31" s="29">
        <f t="shared" si="6"/>
        <v>92120.26205592</v>
      </c>
      <c r="J31" s="29">
        <f t="shared" si="6"/>
        <v>92120.26205592</v>
      </c>
      <c r="K31" s="29">
        <f t="shared" si="6"/>
        <v>92120.26205592</v>
      </c>
      <c r="L31" s="29">
        <f t="shared" si="6"/>
        <v>92120.26205592</v>
      </c>
      <c r="M31" s="29">
        <f t="shared" si="6"/>
        <v>92120.26205592</v>
      </c>
      <c r="N31" s="29">
        <f t="shared" si="6"/>
        <v>92120.26205592</v>
      </c>
      <c r="O31" s="29">
        <f t="shared" si="6"/>
        <v>92120.26205592</v>
      </c>
      <c r="P31" s="29">
        <f t="shared" si="6"/>
        <v>92120.26205592</v>
      </c>
      <c r="Q31" s="29">
        <f t="shared" si="6"/>
        <v>92120.26205592</v>
      </c>
      <c r="R31" s="29">
        <f t="shared" si="6"/>
        <v>92120.26205592</v>
      </c>
      <c r="S31" s="29">
        <f t="shared" si="6"/>
        <v>92120.26205592</v>
      </c>
      <c r="T31" s="29">
        <f t="shared" si="6"/>
        <v>92120.26205592</v>
      </c>
      <c r="U31" s="29">
        <f t="shared" si="6"/>
        <v>92120.26205592</v>
      </c>
      <c r="V31" s="29">
        <f t="shared" si="6"/>
        <v>92120.26205592</v>
      </c>
      <c r="W31" s="9">
        <f>SUM(C31:V31)</f>
        <v>1506861.5808198836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85978.911252192003</v>
      </c>
      <c r="D32" s="26">
        <f t="shared" ref="D32:E32" si="7">D23-D28-D29-D30-D31</f>
        <v>85978.911252192003</v>
      </c>
      <c r="E32" s="26">
        <f t="shared" si="7"/>
        <v>66106.541252191993</v>
      </c>
      <c r="F32" s="26">
        <f>F23-F28-F29-F30-F31</f>
        <v>56170.35625219201</v>
      </c>
      <c r="G32" s="26">
        <f t="shared" ref="G32:O32" si="8">G23-G28-G29-G30-G31</f>
        <v>54679.928502192008</v>
      </c>
      <c r="H32" s="26">
        <f t="shared" si="8"/>
        <v>63862.343271216007</v>
      </c>
      <c r="I32" s="26">
        <f t="shared" si="8"/>
        <v>180440.149648605</v>
      </c>
      <c r="J32" s="26">
        <f t="shared" si="8"/>
        <v>178714.79322451123</v>
      </c>
      <c r="K32" s="26">
        <f t="shared" si="8"/>
        <v>176903.16897921279</v>
      </c>
      <c r="L32" s="26">
        <f t="shared" si="8"/>
        <v>175000.96352164945</v>
      </c>
      <c r="M32" s="26">
        <f t="shared" si="8"/>
        <v>173003.64779120791</v>
      </c>
      <c r="N32" s="26">
        <f t="shared" si="8"/>
        <v>170906.46627424433</v>
      </c>
      <c r="O32" s="26">
        <f t="shared" si="8"/>
        <v>168704.42568143253</v>
      </c>
      <c r="P32" s="26">
        <f>P23-P28-P29-P30-P31</f>
        <v>166392.28305898016</v>
      </c>
      <c r="Q32" s="26">
        <f t="shared" ref="Q32:V32" si="9">Q23-Q28-Q29-Q30-Q31</f>
        <v>163964.53330540517</v>
      </c>
      <c r="R32" s="26">
        <f t="shared" si="9"/>
        <v>161415.39606415143</v>
      </c>
      <c r="S32" s="26">
        <f t="shared" si="9"/>
        <v>158738.80196083497</v>
      </c>
      <c r="T32" s="26">
        <f t="shared" si="9"/>
        <v>155928.37815235273</v>
      </c>
      <c r="U32" s="26">
        <f t="shared" si="9"/>
        <v>152977.43315344639</v>
      </c>
      <c r="V32" s="26">
        <f t="shared" si="9"/>
        <v>149878.9409045947</v>
      </c>
      <c r="W32" s="9">
        <f>SUM(C32:V32)</f>
        <v>2745746.3735028044</v>
      </c>
    </row>
    <row r="33" spans="1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21" customFormat="1" x14ac:dyDescent="0.25"/>
    <row r="36" spans="1:22" s="14" customFormat="1" x14ac:dyDescent="0.25">
      <c r="A36" s="16" t="s">
        <v>56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x14ac:dyDescent="0.25">
      <c r="A37" s="11" t="s">
        <v>35</v>
      </c>
      <c r="B37" s="12">
        <f>NPV(0.05,B29:V29)</f>
        <v>1820496.6814840063</v>
      </c>
      <c r="C37" s="18" t="e">
        <f>B37/B18</f>
        <v>#DIV/0!</v>
      </c>
      <c r="D37" t="s">
        <v>30</v>
      </c>
    </row>
    <row r="38" spans="1:22" x14ac:dyDescent="0.25">
      <c r="A38" s="11" t="s">
        <v>27</v>
      </c>
      <c r="B38" s="13">
        <f>IRR(B29:V29,0.05)</f>
        <v>0.13320592191107639</v>
      </c>
    </row>
    <row r="39" spans="1:22" x14ac:dyDescent="0.25">
      <c r="A39" s="11" t="s">
        <v>31</v>
      </c>
      <c r="B39" s="20">
        <v>5.92</v>
      </c>
      <c r="C39" s="19"/>
      <c r="D39" t="s">
        <v>32</v>
      </c>
      <c r="E39" t="s">
        <v>32</v>
      </c>
    </row>
    <row r="40" spans="1:22" x14ac:dyDescent="0.25">
      <c r="A40" s="16"/>
      <c r="B40" t="s">
        <v>32</v>
      </c>
    </row>
    <row r="41" spans="1:22" s="21" customFormat="1" x14ac:dyDescent="0.25">
      <c r="C41" s="27"/>
    </row>
  </sheetData>
  <pageMargins left="0.25" right="0.25" top="0.75" bottom="0.75" header="0.3" footer="0.3"/>
  <pageSetup paperSize="9" scale="3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34"/>
  <sheetViews>
    <sheetView topLeftCell="A31" zoomScale="99" zoomScaleNormal="99" workbookViewId="0">
      <selection activeCell="A42" sqref="A42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408.48*5</f>
        <v>2042.4</v>
      </c>
      <c r="C4" s="1" t="s">
        <v>67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71</v>
      </c>
      <c r="B13" s="3">
        <v>12863054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2272299.7973793605</v>
      </c>
      <c r="D23" s="6">
        <f t="shared" ref="D23:V23" si="0">((($B$4*$B$7*$F$7)-((($B$4*$B$7*$F$7)*10%))+((($B$4*$B$9)*$F$9)+((($B$4*$B$7)*$F$9)*10%))))</f>
        <v>2272299.7973793605</v>
      </c>
      <c r="E23" s="6">
        <f t="shared" si="0"/>
        <v>2272299.7973793605</v>
      </c>
      <c r="F23" s="6">
        <f t="shared" si="0"/>
        <v>2272299.7973793605</v>
      </c>
      <c r="G23" s="6">
        <f t="shared" si="0"/>
        <v>2272299.7973793605</v>
      </c>
      <c r="H23" s="6">
        <f t="shared" si="0"/>
        <v>2272299.7973793605</v>
      </c>
      <c r="I23" s="6">
        <f t="shared" si="0"/>
        <v>2272299.7973793605</v>
      </c>
      <c r="J23" s="6">
        <f t="shared" si="0"/>
        <v>2272299.7973793605</v>
      </c>
      <c r="K23" s="6">
        <f t="shared" si="0"/>
        <v>2272299.7973793605</v>
      </c>
      <c r="L23" s="6">
        <f t="shared" si="0"/>
        <v>2272299.7973793605</v>
      </c>
      <c r="M23" s="6">
        <f t="shared" si="0"/>
        <v>2272299.7973793605</v>
      </c>
      <c r="N23" s="6">
        <f t="shared" si="0"/>
        <v>2272299.7973793605</v>
      </c>
      <c r="O23" s="6">
        <f t="shared" si="0"/>
        <v>2272299.7973793605</v>
      </c>
      <c r="P23" s="6">
        <f t="shared" si="0"/>
        <v>2272299.7973793605</v>
      </c>
      <c r="Q23" s="6">
        <f t="shared" si="0"/>
        <v>2272299.7973793605</v>
      </c>
      <c r="R23" s="6">
        <f t="shared" si="0"/>
        <v>2272299.7973793605</v>
      </c>
      <c r="S23" s="6">
        <f t="shared" si="0"/>
        <v>2272299.7973793605</v>
      </c>
      <c r="T23" s="6">
        <f t="shared" si="0"/>
        <v>2272299.7973793605</v>
      </c>
      <c r="U23" s="6">
        <f t="shared" si="0"/>
        <v>2272299.7973793605</v>
      </c>
      <c r="V23" s="6">
        <f t="shared" si="0"/>
        <v>2272299.7973793605</v>
      </c>
      <c r="W23" s="9">
        <f>SUM(B23:V23)</f>
        <v>45445995.9475872</v>
      </c>
    </row>
    <row r="24" spans="1:23" s="4" customFormat="1" x14ac:dyDescent="0.25">
      <c r="A24" s="5" t="s">
        <v>29</v>
      </c>
      <c r="B24" s="6">
        <f>B13</f>
        <v>12863054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12863054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69</v>
      </c>
      <c r="B26" s="10">
        <f>B13</f>
        <v>12863054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-12863054</v>
      </c>
      <c r="C29" s="32">
        <f>C23*0.8</f>
        <v>1817839.8379034884</v>
      </c>
      <c r="D29" s="32">
        <f t="shared" ref="D29:G29" si="3">D23*0.8</f>
        <v>1817839.8379034884</v>
      </c>
      <c r="E29" s="32">
        <f t="shared" si="3"/>
        <v>1817839.8379034884</v>
      </c>
      <c r="F29" s="32">
        <f t="shared" si="3"/>
        <v>1817839.8379034884</v>
      </c>
      <c r="G29" s="32">
        <f t="shared" si="3"/>
        <v>1817839.8379034884</v>
      </c>
      <c r="H29" s="32">
        <f>(H23*0.8*11/12)+(H23*0.5*1/12)</f>
        <v>1761032.3429690045</v>
      </c>
      <c r="I29" s="32">
        <f>I23*0.5</f>
        <v>1136149.8986896803</v>
      </c>
      <c r="J29" s="32">
        <f t="shared" ref="J29:V29" si="4">J23*0.5</f>
        <v>1136149.8986896803</v>
      </c>
      <c r="K29" s="32">
        <f t="shared" si="4"/>
        <v>1136149.8986896803</v>
      </c>
      <c r="L29" s="32">
        <f t="shared" si="4"/>
        <v>1136149.8986896803</v>
      </c>
      <c r="M29" s="32">
        <f t="shared" si="4"/>
        <v>1136149.8986896803</v>
      </c>
      <c r="N29" s="32">
        <f t="shared" si="4"/>
        <v>1136149.8986896803</v>
      </c>
      <c r="O29" s="32">
        <f t="shared" si="4"/>
        <v>1136149.8986896803</v>
      </c>
      <c r="P29" s="32">
        <f t="shared" si="4"/>
        <v>1136149.8986896803</v>
      </c>
      <c r="Q29" s="32">
        <f t="shared" si="4"/>
        <v>1136149.8986896803</v>
      </c>
      <c r="R29" s="32">
        <f t="shared" si="4"/>
        <v>1136149.8986896803</v>
      </c>
      <c r="S29" s="32">
        <f t="shared" si="4"/>
        <v>1136149.8986896803</v>
      </c>
      <c r="T29" s="32">
        <f t="shared" si="4"/>
        <v>1136149.8986896803</v>
      </c>
      <c r="U29" s="32">
        <f t="shared" si="4"/>
        <v>1136149.8986896803</v>
      </c>
      <c r="V29" s="32">
        <f t="shared" si="4"/>
        <v>1136149.8986896803</v>
      </c>
      <c r="W29" s="33">
        <f>SUM(B29:V29)</f>
        <v>13893276.114141967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128630.54</v>
      </c>
      <c r="F30" s="42">
        <f>E30*1.05</f>
        <v>135062.06700000001</v>
      </c>
      <c r="G30" s="42">
        <f t="shared" ref="G30:V30" si="5">F30*1.05</f>
        <v>141815.17035000003</v>
      </c>
      <c r="H30" s="42">
        <f t="shared" si="5"/>
        <v>148905.92886750004</v>
      </c>
      <c r="I30" s="42">
        <f t="shared" si="5"/>
        <v>156351.22531087504</v>
      </c>
      <c r="J30" s="42">
        <f t="shared" si="5"/>
        <v>164168.78657641882</v>
      </c>
      <c r="K30" s="42">
        <f t="shared" si="5"/>
        <v>172377.22590523976</v>
      </c>
      <c r="L30" s="42">
        <f t="shared" si="5"/>
        <v>180996.08720050176</v>
      </c>
      <c r="M30" s="42">
        <f t="shared" si="5"/>
        <v>190045.89156052686</v>
      </c>
      <c r="N30" s="42">
        <f t="shared" si="5"/>
        <v>199548.1861385532</v>
      </c>
      <c r="O30" s="42">
        <f t="shared" si="5"/>
        <v>209525.59544548087</v>
      </c>
      <c r="P30" s="42">
        <f t="shared" si="5"/>
        <v>220001.87521775492</v>
      </c>
      <c r="Q30" s="42">
        <f t="shared" si="5"/>
        <v>231001.96897864266</v>
      </c>
      <c r="R30" s="42">
        <f t="shared" si="5"/>
        <v>242552.0674275748</v>
      </c>
      <c r="S30" s="42">
        <f t="shared" si="5"/>
        <v>254679.67079895356</v>
      </c>
      <c r="T30" s="42">
        <f t="shared" si="5"/>
        <v>267413.65433890128</v>
      </c>
      <c r="U30" s="42">
        <f t="shared" si="5"/>
        <v>280784.33705584635</v>
      </c>
      <c r="V30" s="42">
        <f t="shared" si="5"/>
        <v>294823.55390863866</v>
      </c>
      <c r="W30" s="9">
        <f>SUM(C30:V30)</f>
        <v>3618683.8320814082</v>
      </c>
    </row>
    <row r="31" spans="1:23" s="28" customFormat="1" x14ac:dyDescent="0.25">
      <c r="A31" s="28" t="s">
        <v>34</v>
      </c>
      <c r="B31" s="29"/>
      <c r="C31" s="29">
        <f>(C23-C28-C29)*0.3</f>
        <v>136337.98784276162</v>
      </c>
      <c r="D31" s="29">
        <f t="shared" ref="D31:V31" si="6">(D23-D28-D29)*0.3</f>
        <v>136337.98784276162</v>
      </c>
      <c r="E31" s="29">
        <f>(E23-E28-E29-E30)*0.3</f>
        <v>97748.825842761638</v>
      </c>
      <c r="F31" s="29">
        <f t="shared" si="6"/>
        <v>136337.98784276162</v>
      </c>
      <c r="G31" s="29">
        <f t="shared" si="6"/>
        <v>136337.98784276162</v>
      </c>
      <c r="H31" s="29">
        <f t="shared" si="6"/>
        <v>153380.2363231068</v>
      </c>
      <c r="I31" s="29">
        <f t="shared" si="6"/>
        <v>340844.96960690408</v>
      </c>
      <c r="J31" s="29">
        <f t="shared" si="6"/>
        <v>340844.96960690408</v>
      </c>
      <c r="K31" s="29">
        <f t="shared" si="6"/>
        <v>340844.96960690408</v>
      </c>
      <c r="L31" s="29">
        <f t="shared" si="6"/>
        <v>340844.96960690408</v>
      </c>
      <c r="M31" s="29">
        <f t="shared" si="6"/>
        <v>340844.96960690408</v>
      </c>
      <c r="N31" s="29">
        <f t="shared" si="6"/>
        <v>340844.96960690408</v>
      </c>
      <c r="O31" s="29">
        <f t="shared" si="6"/>
        <v>340844.96960690408</v>
      </c>
      <c r="P31" s="29">
        <f t="shared" si="6"/>
        <v>340844.96960690408</v>
      </c>
      <c r="Q31" s="29">
        <f t="shared" si="6"/>
        <v>340844.96960690408</v>
      </c>
      <c r="R31" s="29">
        <f t="shared" si="6"/>
        <v>340844.96960690408</v>
      </c>
      <c r="S31" s="29">
        <f t="shared" si="6"/>
        <v>340844.96960690408</v>
      </c>
      <c r="T31" s="29">
        <f t="shared" si="6"/>
        <v>340844.96960690408</v>
      </c>
      <c r="U31" s="29">
        <f t="shared" si="6"/>
        <v>340844.96960690408</v>
      </c>
      <c r="V31" s="29">
        <f t="shared" si="6"/>
        <v>340844.96960690408</v>
      </c>
      <c r="W31" s="9">
        <f>SUM(C31:V31)</f>
        <v>5568310.5880335746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318121.97163311049</v>
      </c>
      <c r="D32" s="26">
        <f t="shared" ref="D32:E32" si="7">D23-D28-D29-D30-D31</f>
        <v>318121.97163311049</v>
      </c>
      <c r="E32" s="26">
        <f t="shared" si="7"/>
        <v>228080.59363311049</v>
      </c>
      <c r="F32" s="26">
        <f>F23-F28-F29-F30-F31</f>
        <v>183059.90463311045</v>
      </c>
      <c r="G32" s="26">
        <f t="shared" ref="G32:O32" si="8">G23-G28-G29-G30-G31</f>
        <v>176306.80128311046</v>
      </c>
      <c r="H32" s="26">
        <f t="shared" si="8"/>
        <v>208981.28921974916</v>
      </c>
      <c r="I32" s="26">
        <f t="shared" si="8"/>
        <v>638953.70377190108</v>
      </c>
      <c r="J32" s="26">
        <f t="shared" si="8"/>
        <v>631136.1425063574</v>
      </c>
      <c r="K32" s="26">
        <f t="shared" si="8"/>
        <v>622927.70317753637</v>
      </c>
      <c r="L32" s="26">
        <f t="shared" si="8"/>
        <v>614308.84188227449</v>
      </c>
      <c r="M32" s="26">
        <f t="shared" si="8"/>
        <v>605259.03752224939</v>
      </c>
      <c r="N32" s="26">
        <f t="shared" si="8"/>
        <v>595756.74294422299</v>
      </c>
      <c r="O32" s="26">
        <f t="shared" si="8"/>
        <v>585779.33363729529</v>
      </c>
      <c r="P32" s="26">
        <f>P23-P28-P29-P30-P31</f>
        <v>575303.05386502133</v>
      </c>
      <c r="Q32" s="26">
        <f t="shared" ref="Q32:V32" si="9">Q23-Q28-Q29-Q30-Q31</f>
        <v>564302.96010413347</v>
      </c>
      <c r="R32" s="26">
        <f t="shared" si="9"/>
        <v>552752.86165520141</v>
      </c>
      <c r="S32" s="26">
        <f t="shared" si="9"/>
        <v>540625.25828382256</v>
      </c>
      <c r="T32" s="26">
        <f t="shared" si="9"/>
        <v>527891.27474387491</v>
      </c>
      <c r="U32" s="26">
        <f t="shared" si="9"/>
        <v>514520.59202692984</v>
      </c>
      <c r="V32" s="26">
        <f t="shared" si="9"/>
        <v>500481.37517413753</v>
      </c>
      <c r="W32" s="9">
        <f>SUM(C32:V32)</f>
        <v>9502671.4133302588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34"/>
  <sheetViews>
    <sheetView topLeftCell="A34" zoomScale="99" zoomScaleNormal="99" workbookViewId="0">
      <selection activeCell="A45" sqref="A45"/>
    </sheetView>
  </sheetViews>
  <sheetFormatPr defaultRowHeight="15" x14ac:dyDescent="0.25"/>
  <cols>
    <col min="1" max="1" width="58.28515625" customWidth="1"/>
    <col min="2" max="2" width="15.7109375" customWidth="1"/>
    <col min="3" max="3" width="14.7109375" customWidth="1"/>
    <col min="4" max="4" width="14.5703125" customWidth="1"/>
    <col min="5" max="5" width="14.7109375" customWidth="1"/>
    <col min="6" max="19" width="14.5703125" bestFit="1" customWidth="1"/>
    <col min="20" max="22" width="14" customWidth="1"/>
    <col min="23" max="23" width="15.7109375" customWidth="1"/>
  </cols>
  <sheetData>
    <row r="1" spans="1:22" x14ac:dyDescent="0.25">
      <c r="A1" t="s">
        <v>2</v>
      </c>
      <c r="D1" s="1"/>
    </row>
    <row r="2" spans="1:22" x14ac:dyDescent="0.25">
      <c r="A2" s="34" t="s">
        <v>26</v>
      </c>
      <c r="B2" s="37"/>
      <c r="C2" s="37"/>
      <c r="D2" s="38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35" t="s">
        <v>37</v>
      </c>
      <c r="D3" s="1"/>
    </row>
    <row r="4" spans="1:22" x14ac:dyDescent="0.25">
      <c r="A4" s="1" t="s">
        <v>40</v>
      </c>
      <c r="B4" s="2">
        <f>139.38*5</f>
        <v>696.9</v>
      </c>
      <c r="C4" s="1" t="s">
        <v>73</v>
      </c>
      <c r="D4" s="1"/>
    </row>
    <row r="5" spans="1:22" x14ac:dyDescent="0.25">
      <c r="A5" s="23" t="s">
        <v>41</v>
      </c>
      <c r="B5" s="2"/>
      <c r="C5" s="1"/>
      <c r="D5" s="1"/>
    </row>
    <row r="6" spans="1:22" x14ac:dyDescent="0.25">
      <c r="A6" s="24" t="s">
        <v>42</v>
      </c>
      <c r="B6" s="2"/>
      <c r="C6" s="1"/>
      <c r="D6" s="1"/>
    </row>
    <row r="7" spans="1:22" x14ac:dyDescent="0.25">
      <c r="A7" s="3" t="s">
        <v>44</v>
      </c>
      <c r="B7" s="3">
        <v>246</v>
      </c>
      <c r="C7" s="1" t="s">
        <v>0</v>
      </c>
      <c r="D7" s="1" t="s">
        <v>1</v>
      </c>
      <c r="F7" s="30">
        <f>3.3471*1.07</f>
        <v>3.5813970000000004</v>
      </c>
      <c r="G7" t="s">
        <v>33</v>
      </c>
    </row>
    <row r="8" spans="1:22" x14ac:dyDescent="0.25">
      <c r="A8" s="24" t="s">
        <v>43</v>
      </c>
      <c r="B8" s="3"/>
      <c r="C8" s="1"/>
      <c r="D8" s="1"/>
    </row>
    <row r="9" spans="1:22" x14ac:dyDescent="0.25">
      <c r="A9" s="3" t="s">
        <v>44</v>
      </c>
      <c r="B9" s="3">
        <v>119</v>
      </c>
      <c r="C9" s="1" t="s">
        <v>0</v>
      </c>
      <c r="D9" s="1" t="s">
        <v>1</v>
      </c>
      <c r="F9" s="30">
        <f>2.0803*1.07</f>
        <v>2.225921</v>
      </c>
      <c r="G9" t="s">
        <v>33</v>
      </c>
    </row>
    <row r="10" spans="1:22" ht="22.15" customHeight="1" x14ac:dyDescent="0.25">
      <c r="A10" s="35" t="s">
        <v>59</v>
      </c>
      <c r="B10" s="3">
        <v>130000000</v>
      </c>
      <c r="C10" s="1" t="s">
        <v>33</v>
      </c>
      <c r="D10" s="1"/>
      <c r="F10" s="36"/>
    </row>
    <row r="11" spans="1:22" ht="26.45" customHeight="1" x14ac:dyDescent="0.25">
      <c r="A11" s="35"/>
      <c r="B11" s="3"/>
      <c r="C11" s="1"/>
      <c r="D11" s="1"/>
      <c r="F11" s="36"/>
    </row>
    <row r="12" spans="1:22" ht="26.45" customHeight="1" x14ac:dyDescent="0.25">
      <c r="A12" s="34" t="s">
        <v>25</v>
      </c>
      <c r="B12" s="39"/>
      <c r="C12" s="38"/>
      <c r="D12" s="38"/>
      <c r="E12" s="37"/>
      <c r="F12" s="40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26.45" customHeight="1" x14ac:dyDescent="0.25">
      <c r="A13" s="1" t="s">
        <v>72</v>
      </c>
      <c r="B13" s="3">
        <v>3368224</v>
      </c>
      <c r="C13" s="1" t="s">
        <v>33</v>
      </c>
      <c r="D13" s="1"/>
      <c r="F13" s="36"/>
    </row>
    <row r="14" spans="1:22" ht="26.45" customHeight="1" x14ac:dyDescent="0.25">
      <c r="A14" s="1" t="s">
        <v>60</v>
      </c>
      <c r="B14" s="3">
        <v>20000000</v>
      </c>
      <c r="C14" s="1" t="s">
        <v>33</v>
      </c>
      <c r="D14" s="1"/>
      <c r="F14" s="36"/>
    </row>
    <row r="15" spans="1:22" ht="22.9" customHeight="1" x14ac:dyDescent="0.25">
      <c r="A15" s="1" t="s">
        <v>57</v>
      </c>
      <c r="B15" s="3">
        <v>300000</v>
      </c>
      <c r="C15" s="1" t="s">
        <v>45</v>
      </c>
      <c r="D15" s="1"/>
      <c r="F15" s="36"/>
    </row>
    <row r="16" spans="1:22" ht="21" customHeight="1" x14ac:dyDescent="0.25">
      <c r="A16" s="1" t="s">
        <v>48</v>
      </c>
      <c r="B16" s="41">
        <v>0.01</v>
      </c>
      <c r="C16" s="1" t="s">
        <v>47</v>
      </c>
      <c r="D16" s="1"/>
      <c r="F16" s="36"/>
    </row>
    <row r="17" spans="1:23" x14ac:dyDescent="0.25">
      <c r="A17" s="3" t="s">
        <v>49</v>
      </c>
      <c r="B17" s="41">
        <v>0.3</v>
      </c>
      <c r="C17" s="1" t="s">
        <v>50</v>
      </c>
      <c r="D17" s="1"/>
      <c r="F17" s="36"/>
    </row>
    <row r="18" spans="1:23" x14ac:dyDescent="0.25">
      <c r="A18" s="3"/>
      <c r="B18" s="41"/>
      <c r="C18" s="1"/>
      <c r="D18" s="1"/>
      <c r="F18" s="36"/>
    </row>
    <row r="19" spans="1:23" x14ac:dyDescent="0.25">
      <c r="C19" s="1"/>
      <c r="D19" s="1"/>
    </row>
    <row r="21" spans="1:23" s="4" customFormat="1" x14ac:dyDescent="0.25">
      <c r="A21" s="4" t="s">
        <v>3</v>
      </c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  <c r="I21" s="4" t="s">
        <v>11</v>
      </c>
      <c r="J21" s="4" t="s">
        <v>12</v>
      </c>
      <c r="K21" s="4" t="s">
        <v>13</v>
      </c>
      <c r="L21" s="4" t="s">
        <v>14</v>
      </c>
      <c r="M21" s="4" t="s">
        <v>15</v>
      </c>
      <c r="N21" s="4" t="s">
        <v>16</v>
      </c>
      <c r="O21" s="4" t="s">
        <v>17</v>
      </c>
      <c r="P21" s="4" t="s">
        <v>18</v>
      </c>
      <c r="Q21" s="4" t="s">
        <v>19</v>
      </c>
      <c r="R21" s="4" t="s">
        <v>20</v>
      </c>
      <c r="S21" s="4" t="s">
        <v>21</v>
      </c>
      <c r="T21" s="4" t="s">
        <v>22</v>
      </c>
      <c r="U21" s="4" t="s">
        <v>23</v>
      </c>
      <c r="V21" s="4" t="s">
        <v>24</v>
      </c>
    </row>
    <row r="22" spans="1:23" x14ac:dyDescent="0.25">
      <c r="A22" t="s">
        <v>26</v>
      </c>
    </row>
    <row r="23" spans="1:23" x14ac:dyDescent="0.25">
      <c r="A23" s="5" t="s">
        <v>54</v>
      </c>
      <c r="B23" s="6">
        <v>0</v>
      </c>
      <c r="C23" s="6">
        <f>((($B$4*$B$7*$F$7)-((($B$4*$B$7*$F$7)*10%))+((($B$4*$B$9)*$F$9)+((($B$4*$B$7)*$F$9)*10%))))</f>
        <v>775345.53897065995</v>
      </c>
      <c r="D23" s="6">
        <f t="shared" ref="D23:V23" si="0">((($B$4*$B$7*$F$7)-((($B$4*$B$7*$F$7)*10%))+((($B$4*$B$9)*$F$9)+((($B$4*$B$7)*$F$9)*10%))))</f>
        <v>775345.53897065995</v>
      </c>
      <c r="E23" s="6">
        <f t="shared" si="0"/>
        <v>775345.53897065995</v>
      </c>
      <c r="F23" s="6">
        <f t="shared" si="0"/>
        <v>775345.53897065995</v>
      </c>
      <c r="G23" s="6">
        <f t="shared" si="0"/>
        <v>775345.53897065995</v>
      </c>
      <c r="H23" s="6">
        <f t="shared" si="0"/>
        <v>775345.53897065995</v>
      </c>
      <c r="I23" s="6">
        <f t="shared" si="0"/>
        <v>775345.53897065995</v>
      </c>
      <c r="J23" s="6">
        <f t="shared" si="0"/>
        <v>775345.53897065995</v>
      </c>
      <c r="K23" s="6">
        <f t="shared" si="0"/>
        <v>775345.53897065995</v>
      </c>
      <c r="L23" s="6">
        <f t="shared" si="0"/>
        <v>775345.53897065995</v>
      </c>
      <c r="M23" s="6">
        <f t="shared" si="0"/>
        <v>775345.53897065995</v>
      </c>
      <c r="N23" s="6">
        <f t="shared" si="0"/>
        <v>775345.53897065995</v>
      </c>
      <c r="O23" s="6">
        <f t="shared" si="0"/>
        <v>775345.53897065995</v>
      </c>
      <c r="P23" s="6">
        <f t="shared" si="0"/>
        <v>775345.53897065995</v>
      </c>
      <c r="Q23" s="6">
        <f t="shared" si="0"/>
        <v>775345.53897065995</v>
      </c>
      <c r="R23" s="6">
        <f t="shared" si="0"/>
        <v>775345.53897065995</v>
      </c>
      <c r="S23" s="6">
        <f t="shared" si="0"/>
        <v>775345.53897065995</v>
      </c>
      <c r="T23" s="6">
        <f t="shared" si="0"/>
        <v>775345.53897065995</v>
      </c>
      <c r="U23" s="6">
        <f t="shared" si="0"/>
        <v>775345.53897065995</v>
      </c>
      <c r="V23" s="6">
        <f t="shared" si="0"/>
        <v>775345.53897065995</v>
      </c>
      <c r="W23" s="9">
        <f>SUM(B23:V23)</f>
        <v>15506910.779413205</v>
      </c>
    </row>
    <row r="24" spans="1:23" s="4" customFormat="1" x14ac:dyDescent="0.25">
      <c r="A24" s="5" t="s">
        <v>29</v>
      </c>
      <c r="B24" s="6">
        <f>B13</f>
        <v>3368224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9">
        <f t="shared" ref="W24:W25" si="1">SUM(B24:V24)</f>
        <v>3368224</v>
      </c>
    </row>
    <row r="25" spans="1:23" x14ac:dyDescent="0.25">
      <c r="A25" t="s">
        <v>25</v>
      </c>
      <c r="W25" s="9">
        <f t="shared" si="1"/>
        <v>0</v>
      </c>
    </row>
    <row r="26" spans="1:23" s="5" customFormat="1" x14ac:dyDescent="0.25">
      <c r="A26" s="5" t="s">
        <v>69</v>
      </c>
      <c r="B26" s="10">
        <f>B13</f>
        <v>3368224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9">
        <f>SUM(C26:V26)</f>
        <v>0</v>
      </c>
    </row>
    <row r="27" spans="1:23" s="5" customFormat="1" x14ac:dyDescent="0.25">
      <c r="A27" s="5" t="s">
        <v>52</v>
      </c>
      <c r="B27" s="10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9">
        <f>SUM(B27:V27)</f>
        <v>0</v>
      </c>
    </row>
    <row r="28" spans="1:23" s="5" customFormat="1" x14ac:dyDescent="0.25">
      <c r="A28" s="5" t="s">
        <v>55</v>
      </c>
      <c r="B28" s="17">
        <v>0</v>
      </c>
      <c r="C28" s="7">
        <v>0</v>
      </c>
      <c r="D28" s="7">
        <v>0</v>
      </c>
      <c r="E28" s="7">
        <f t="shared" ref="E28:V28" si="2">D28*1.05</f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7">
        <f t="shared" si="2"/>
        <v>0</v>
      </c>
      <c r="N28" s="7">
        <f t="shared" si="2"/>
        <v>0</v>
      </c>
      <c r="O28" s="7">
        <f t="shared" si="2"/>
        <v>0</v>
      </c>
      <c r="P28" s="7">
        <f t="shared" si="2"/>
        <v>0</v>
      </c>
      <c r="Q28" s="7">
        <f t="shared" si="2"/>
        <v>0</v>
      </c>
      <c r="R28" s="7">
        <f t="shared" si="2"/>
        <v>0</v>
      </c>
      <c r="S28" s="7">
        <f t="shared" si="2"/>
        <v>0</v>
      </c>
      <c r="T28" s="7">
        <f t="shared" si="2"/>
        <v>0</v>
      </c>
      <c r="U28" s="7">
        <f t="shared" si="2"/>
        <v>0</v>
      </c>
      <c r="V28" s="7">
        <f t="shared" si="2"/>
        <v>0</v>
      </c>
      <c r="W28" s="9">
        <f>SUM(C28:V28)</f>
        <v>0</v>
      </c>
    </row>
    <row r="29" spans="1:23" s="31" customFormat="1" x14ac:dyDescent="0.25">
      <c r="A29" s="31" t="s">
        <v>62</v>
      </c>
      <c r="B29" s="44">
        <f>-B13</f>
        <v>-3368224</v>
      </c>
      <c r="C29" s="32">
        <f>C23*0.8</f>
        <v>620276.43117652799</v>
      </c>
      <c r="D29" s="32">
        <f t="shared" ref="D29:G29" si="3">D23*0.8</f>
        <v>620276.43117652799</v>
      </c>
      <c r="E29" s="32">
        <f t="shared" si="3"/>
        <v>620276.43117652799</v>
      </c>
      <c r="F29" s="32">
        <f t="shared" si="3"/>
        <v>620276.43117652799</v>
      </c>
      <c r="G29" s="32">
        <f t="shared" si="3"/>
        <v>620276.43117652799</v>
      </c>
      <c r="H29" s="32">
        <f>(H23*0.8*11/12)+(H23*0.5*1/12)</f>
        <v>600892.79270226159</v>
      </c>
      <c r="I29" s="32">
        <f>I23*0.5</f>
        <v>387672.76948532998</v>
      </c>
      <c r="J29" s="32">
        <f t="shared" ref="J29:V29" si="4">J23*0.5</f>
        <v>387672.76948532998</v>
      </c>
      <c r="K29" s="32">
        <f t="shared" si="4"/>
        <v>387672.76948532998</v>
      </c>
      <c r="L29" s="32">
        <f t="shared" si="4"/>
        <v>387672.76948532998</v>
      </c>
      <c r="M29" s="32">
        <f t="shared" si="4"/>
        <v>387672.76948532998</v>
      </c>
      <c r="N29" s="32">
        <f t="shared" si="4"/>
        <v>387672.76948532998</v>
      </c>
      <c r="O29" s="32">
        <f t="shared" si="4"/>
        <v>387672.76948532998</v>
      </c>
      <c r="P29" s="32">
        <f t="shared" si="4"/>
        <v>387672.76948532998</v>
      </c>
      <c r="Q29" s="32">
        <f t="shared" si="4"/>
        <v>387672.76948532998</v>
      </c>
      <c r="R29" s="32">
        <f t="shared" si="4"/>
        <v>387672.76948532998</v>
      </c>
      <c r="S29" s="32">
        <f t="shared" si="4"/>
        <v>387672.76948532998</v>
      </c>
      <c r="T29" s="32">
        <f t="shared" si="4"/>
        <v>387672.76948532998</v>
      </c>
      <c r="U29" s="32">
        <f t="shared" si="4"/>
        <v>387672.76948532998</v>
      </c>
      <c r="V29" s="32">
        <f t="shared" si="4"/>
        <v>387672.76948532998</v>
      </c>
      <c r="W29" s="33">
        <f>SUM(B29:V29)</f>
        <v>5761469.7213795232</v>
      </c>
    </row>
    <row r="30" spans="1:23" s="5" customFormat="1" x14ac:dyDescent="0.25">
      <c r="A30" s="5" t="s">
        <v>46</v>
      </c>
      <c r="B30" s="10">
        <v>0</v>
      </c>
      <c r="C30" s="8">
        <v>0</v>
      </c>
      <c r="D30" s="8">
        <v>0</v>
      </c>
      <c r="E30" s="42">
        <f>B24*1/100</f>
        <v>33682.239999999998</v>
      </c>
      <c r="F30" s="42">
        <f>E30*1.05</f>
        <v>35366.351999999999</v>
      </c>
      <c r="G30" s="42">
        <f t="shared" ref="G30:V30" si="5">F30*1.05</f>
        <v>37134.669600000001</v>
      </c>
      <c r="H30" s="42">
        <f t="shared" si="5"/>
        <v>38991.403080000004</v>
      </c>
      <c r="I30" s="42">
        <f t="shared" si="5"/>
        <v>40940.973234000005</v>
      </c>
      <c r="J30" s="42">
        <f t="shared" si="5"/>
        <v>42988.021895700003</v>
      </c>
      <c r="K30" s="42">
        <f t="shared" si="5"/>
        <v>45137.422990485007</v>
      </c>
      <c r="L30" s="42">
        <f t="shared" si="5"/>
        <v>47394.29414000926</v>
      </c>
      <c r="M30" s="42">
        <f t="shared" si="5"/>
        <v>49764.008847009725</v>
      </c>
      <c r="N30" s="42">
        <f t="shared" si="5"/>
        <v>52252.209289360217</v>
      </c>
      <c r="O30" s="42">
        <f t="shared" si="5"/>
        <v>54864.819753828233</v>
      </c>
      <c r="P30" s="42">
        <f t="shared" si="5"/>
        <v>57608.06074151965</v>
      </c>
      <c r="Q30" s="42">
        <f t="shared" si="5"/>
        <v>60488.463778595637</v>
      </c>
      <c r="R30" s="42">
        <f t="shared" si="5"/>
        <v>63512.886967525425</v>
      </c>
      <c r="S30" s="42">
        <f t="shared" si="5"/>
        <v>66688.531315901695</v>
      </c>
      <c r="T30" s="42">
        <f t="shared" si="5"/>
        <v>70022.957881696784</v>
      </c>
      <c r="U30" s="42">
        <f t="shared" si="5"/>
        <v>73524.105775781631</v>
      </c>
      <c r="V30" s="42">
        <f t="shared" si="5"/>
        <v>77200.31106457072</v>
      </c>
      <c r="W30" s="9">
        <f>SUM(C30:V30)</f>
        <v>947561.73235598393</v>
      </c>
    </row>
    <row r="31" spans="1:23" s="28" customFormat="1" x14ac:dyDescent="0.25">
      <c r="A31" s="28" t="s">
        <v>34</v>
      </c>
      <c r="B31" s="29"/>
      <c r="C31" s="29">
        <f>(C23-C28-C29)*0.3</f>
        <v>46520.732338239592</v>
      </c>
      <c r="D31" s="29">
        <f t="shared" ref="D31:V31" si="6">(D23-D28-D29)*0.3</f>
        <v>46520.732338239592</v>
      </c>
      <c r="E31" s="29">
        <f>(E23-E28-E29-E30)*0.3</f>
        <v>36416.060338239593</v>
      </c>
      <c r="F31" s="29">
        <f t="shared" si="6"/>
        <v>46520.732338239592</v>
      </c>
      <c r="G31" s="29">
        <f t="shared" si="6"/>
        <v>46520.732338239592</v>
      </c>
      <c r="H31" s="29">
        <f t="shared" si="6"/>
        <v>52335.823880519507</v>
      </c>
      <c r="I31" s="29">
        <f t="shared" si="6"/>
        <v>116301.83084559899</v>
      </c>
      <c r="J31" s="29">
        <f t="shared" si="6"/>
        <v>116301.83084559899</v>
      </c>
      <c r="K31" s="29">
        <f t="shared" si="6"/>
        <v>116301.83084559899</v>
      </c>
      <c r="L31" s="29">
        <f t="shared" si="6"/>
        <v>116301.83084559899</v>
      </c>
      <c r="M31" s="29">
        <f t="shared" si="6"/>
        <v>116301.83084559899</v>
      </c>
      <c r="N31" s="29">
        <f t="shared" si="6"/>
        <v>116301.83084559899</v>
      </c>
      <c r="O31" s="29">
        <f t="shared" si="6"/>
        <v>116301.83084559899</v>
      </c>
      <c r="P31" s="29">
        <f t="shared" si="6"/>
        <v>116301.83084559899</v>
      </c>
      <c r="Q31" s="29">
        <f t="shared" si="6"/>
        <v>116301.83084559899</v>
      </c>
      <c r="R31" s="29">
        <f t="shared" si="6"/>
        <v>116301.83084559899</v>
      </c>
      <c r="S31" s="29">
        <f t="shared" si="6"/>
        <v>116301.83084559899</v>
      </c>
      <c r="T31" s="29">
        <f t="shared" si="6"/>
        <v>116301.83084559899</v>
      </c>
      <c r="U31" s="29">
        <f t="shared" si="6"/>
        <v>116301.83084559899</v>
      </c>
      <c r="V31" s="29">
        <f t="shared" si="6"/>
        <v>116301.83084559899</v>
      </c>
      <c r="W31" s="9">
        <f>SUM(C31:V31)</f>
        <v>1903060.4454101038</v>
      </c>
    </row>
    <row r="32" spans="1:23" s="5" customFormat="1" x14ac:dyDescent="0.25">
      <c r="A32" s="25" t="s">
        <v>36</v>
      </c>
      <c r="B32" s="43">
        <f>-B27</f>
        <v>0</v>
      </c>
      <c r="C32" s="26">
        <f>C23-C28-C29-C30-C31</f>
        <v>108548.37545589238</v>
      </c>
      <c r="D32" s="26">
        <f t="shared" ref="D32:E32" si="7">D23-D28-D29-D30-D31</f>
        <v>108548.37545589238</v>
      </c>
      <c r="E32" s="26">
        <f t="shared" si="7"/>
        <v>84970.807455892384</v>
      </c>
      <c r="F32" s="26">
        <f>F23-F28-F29-F30-F31</f>
        <v>73182.023455892369</v>
      </c>
      <c r="G32" s="26">
        <f t="shared" ref="G32:O32" si="8">G23-G28-G29-G30-G31</f>
        <v>71413.705855892389</v>
      </c>
      <c r="H32" s="26">
        <f t="shared" si="8"/>
        <v>83125.519307878829</v>
      </c>
      <c r="I32" s="26">
        <f t="shared" si="8"/>
        <v>230429.96540573094</v>
      </c>
      <c r="J32" s="26">
        <f t="shared" si="8"/>
        <v>228382.91674403095</v>
      </c>
      <c r="K32" s="26">
        <f t="shared" si="8"/>
        <v>226233.51564924599</v>
      </c>
      <c r="L32" s="26">
        <f t="shared" si="8"/>
        <v>223976.6444997217</v>
      </c>
      <c r="M32" s="26">
        <f t="shared" si="8"/>
        <v>221606.92979272123</v>
      </c>
      <c r="N32" s="26">
        <f t="shared" si="8"/>
        <v>219118.72935037076</v>
      </c>
      <c r="O32" s="26">
        <f t="shared" si="8"/>
        <v>216506.11888590275</v>
      </c>
      <c r="P32" s="26">
        <f>P23-P28-P29-P30-P31</f>
        <v>213762.8778982113</v>
      </c>
      <c r="Q32" s="26">
        <f t="shared" ref="Q32:V32" si="9">Q23-Q28-Q29-Q30-Q31</f>
        <v>210882.47486113536</v>
      </c>
      <c r="R32" s="26">
        <f t="shared" si="9"/>
        <v>207858.05167220556</v>
      </c>
      <c r="S32" s="26">
        <f t="shared" si="9"/>
        <v>204682.40732382931</v>
      </c>
      <c r="T32" s="26">
        <f t="shared" si="9"/>
        <v>201347.98075803422</v>
      </c>
      <c r="U32" s="26">
        <f t="shared" si="9"/>
        <v>197846.83286394936</v>
      </c>
      <c r="V32" s="26">
        <f t="shared" si="9"/>
        <v>194170.62757516024</v>
      </c>
      <c r="W32" s="9">
        <f>SUM(C32:V32)</f>
        <v>3526594.8802675903</v>
      </c>
    </row>
    <row r="33" spans="2:22" s="21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2:22" s="21" customFormat="1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</sheetData>
  <pageMargins left="0.25" right="0.25" top="0.75" bottom="0.75" header="0.3" footer="0.3"/>
  <pageSetup paperSize="9" scale="3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ไม่มีTOU</vt:lpstr>
      <vt:lpstr>ภาพรวม</vt:lpstr>
      <vt:lpstr>มทร.เชียงใหม่</vt:lpstr>
      <vt:lpstr>มทร.เชียงราย</vt:lpstr>
      <vt:lpstr>มทร.ดอยสะเก็ด</vt:lpstr>
      <vt:lpstr>มทร.ตาก1</vt:lpstr>
      <vt:lpstr>มทร.ตาก2</vt:lpstr>
      <vt:lpstr>มทร.ตาก3</vt:lpstr>
      <vt:lpstr>มทร.น่าน</vt:lpstr>
      <vt:lpstr>มทร.พิษณุโลก</vt:lpstr>
      <vt:lpstr>มทร.ภาคพายัพ เชียงใหม่</vt:lpstr>
      <vt:lpstr>มทร.ภาคพายัพ เจ็ดยอด</vt:lpstr>
      <vt:lpstr>มทร.ลำปาง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Chitgasame RM</dc:creator>
  <cp:lastModifiedBy>Chitgasame RM</cp:lastModifiedBy>
  <cp:lastPrinted>2024-05-30T00:12:27Z</cp:lastPrinted>
  <dcterms:created xsi:type="dcterms:W3CDTF">2024-04-15T17:25:25Z</dcterms:created>
  <dcterms:modified xsi:type="dcterms:W3CDTF">2024-09-04T17:57:19Z</dcterms:modified>
</cp:coreProperties>
</file>